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Google Drive\Blog Drafts\"/>
    </mc:Choice>
  </mc:AlternateContent>
  <xr:revisionPtr revIDLastSave="0" documentId="8_{9E05F33D-F939-49BF-981C-C5BD800BC892}" xr6:coauthVersionLast="43" xr6:coauthVersionMax="43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New Wards - PD totals" sheetId="1" r:id="rId1"/>
    <sheet name="Data" sheetId="3" r:id="rId2"/>
    <sheet name="rank by size of ward" sheetId="6" r:id="rId3"/>
    <sheet name="By Constituency" sheetId="5" r:id="rId4"/>
    <sheet name="Ward Summary" sheetId="2" r:id="rId5"/>
    <sheet name="Parameters" sheetId="4" r:id="rId6"/>
  </sheets>
  <definedNames>
    <definedName name="average">Data!$D$116</definedName>
    <definedName name="CLPCode">Parameters!$A$1:$B$4</definedName>
    <definedName name="newnames">Parameters!$D$1:$E$19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fIDMMYDW/WG3Vm4YUlmKBnj5sGQ=="/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117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E3" i="3"/>
  <c r="E4" i="3"/>
  <c r="E5" i="3"/>
  <c r="E7" i="3"/>
  <c r="E8" i="3"/>
  <c r="E9" i="3"/>
  <c r="E11" i="3"/>
  <c r="E12" i="3"/>
  <c r="E13" i="3"/>
  <c r="E15" i="3"/>
  <c r="E16" i="3"/>
  <c r="E17" i="3"/>
  <c r="E19" i="3"/>
  <c r="E20" i="3"/>
  <c r="E21" i="3"/>
  <c r="E23" i="3"/>
  <c r="E24" i="3"/>
  <c r="E25" i="3"/>
  <c r="E27" i="3"/>
  <c r="E28" i="3"/>
  <c r="E29" i="3"/>
  <c r="E31" i="3"/>
  <c r="E32" i="3"/>
  <c r="E33" i="3"/>
  <c r="E35" i="3"/>
  <c r="E36" i="3"/>
  <c r="E37" i="3"/>
  <c r="E39" i="3"/>
  <c r="E40" i="3"/>
  <c r="E41" i="3"/>
  <c r="E43" i="3"/>
  <c r="E44" i="3"/>
  <c r="E45" i="3"/>
  <c r="E47" i="3"/>
  <c r="E48" i="3"/>
  <c r="E49" i="3"/>
  <c r="E51" i="3"/>
  <c r="E52" i="3"/>
  <c r="E53" i="3"/>
  <c r="E55" i="3"/>
  <c r="E56" i="3"/>
  <c r="E57" i="3"/>
  <c r="E59" i="3"/>
  <c r="E60" i="3"/>
  <c r="E61" i="3"/>
  <c r="E63" i="3"/>
  <c r="E64" i="3"/>
  <c r="E65" i="3"/>
  <c r="E67" i="3"/>
  <c r="E68" i="3"/>
  <c r="E69" i="3"/>
  <c r="E71" i="3"/>
  <c r="E72" i="3"/>
  <c r="E73" i="3"/>
  <c r="E75" i="3"/>
  <c r="E76" i="3"/>
  <c r="E77" i="3"/>
  <c r="E79" i="3"/>
  <c r="E80" i="3"/>
  <c r="E81" i="3"/>
  <c r="E83" i="3"/>
  <c r="E84" i="3"/>
  <c r="E85" i="3"/>
  <c r="E87" i="3"/>
  <c r="E88" i="3"/>
  <c r="E89" i="3"/>
  <c r="E91" i="3"/>
  <c r="E92" i="3"/>
  <c r="E93" i="3"/>
  <c r="E95" i="3"/>
  <c r="E96" i="3"/>
  <c r="E97" i="3"/>
  <c r="E99" i="3"/>
  <c r="E100" i="3"/>
  <c r="E101" i="3"/>
  <c r="E103" i="3"/>
  <c r="E104" i="3"/>
  <c r="E105" i="3"/>
  <c r="E107" i="3"/>
  <c r="E108" i="3"/>
  <c r="E109" i="3"/>
  <c r="E111" i="3"/>
  <c r="E112" i="3"/>
  <c r="E113" i="3"/>
  <c r="D116" i="3"/>
  <c r="E2" i="3" s="1"/>
  <c r="D115" i="3"/>
  <c r="D24" i="5"/>
  <c r="D19" i="5"/>
  <c r="D11" i="5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132" i="1"/>
  <c r="F24" i="5"/>
  <c r="F19" i="5"/>
  <c r="F11" i="5"/>
  <c r="E25" i="5"/>
  <c r="E24" i="5"/>
  <c r="E19" i="5"/>
  <c r="E11" i="5"/>
  <c r="E110" i="3" l="1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E6" i="3"/>
  <c r="B22" i="2"/>
  <c r="B21" i="2"/>
  <c r="G4" i="2" s="1"/>
  <c r="H4" i="2" s="1"/>
  <c r="G18" i="2" l="1"/>
  <c r="H18" i="2" s="1"/>
  <c r="G17" i="2"/>
  <c r="G16" i="2"/>
  <c r="G15" i="2"/>
  <c r="G2" i="2"/>
  <c r="H2" i="2" s="1"/>
  <c r="G11" i="2"/>
  <c r="H11" i="2" s="1"/>
  <c r="G14" i="2"/>
  <c r="H14" i="2" s="1"/>
  <c r="G13" i="2"/>
  <c r="H13" i="2" s="1"/>
  <c r="G12" i="2"/>
  <c r="H12" i="2" s="1"/>
  <c r="G10" i="2"/>
  <c r="H10" i="2" s="1"/>
  <c r="G7" i="2"/>
  <c r="H7" i="2" s="1"/>
  <c r="G9" i="2"/>
  <c r="H9" i="2" s="1"/>
  <c r="G8" i="2"/>
  <c r="H8" i="2" s="1"/>
  <c r="G19" i="2"/>
  <c r="H19" i="2" s="1"/>
  <c r="G3" i="2"/>
  <c r="H3" i="2" s="1"/>
  <c r="G6" i="2"/>
  <c r="H6" i="2" s="1"/>
  <c r="G5" i="2"/>
  <c r="H5" i="2" s="1"/>
  <c r="H17" i="2" l="1"/>
  <c r="H15" i="2"/>
  <c r="H16" i="2"/>
</calcChain>
</file>

<file path=xl/sharedStrings.xml><?xml version="1.0" encoding="utf-8"?>
<sst xmlns="http://schemas.openxmlformats.org/spreadsheetml/2006/main" count="633" uniqueCount="209">
  <si>
    <t>Ward Key</t>
  </si>
  <si>
    <t>PD</t>
  </si>
  <si>
    <t>Voters</t>
  </si>
  <si>
    <t>Desc</t>
  </si>
  <si>
    <t>CLP Mainly</t>
  </si>
  <si>
    <t>Current Ward</t>
  </si>
  <si>
    <t>NEW WARD</t>
  </si>
  <si>
    <t>Notes</t>
  </si>
  <si>
    <t>DEV1</t>
  </si>
  <si>
    <t>Mainly Eveleyn, NE</t>
  </si>
  <si>
    <t>Evelyn</t>
  </si>
  <si>
    <t>LD</t>
  </si>
  <si>
    <t>DEV2</t>
  </si>
  <si>
    <t>New Cross &amp; Evelyn West</t>
  </si>
  <si>
    <t>DEV3</t>
  </si>
  <si>
    <t>DEV4</t>
  </si>
  <si>
    <t>NX East &amp; Brockley North</t>
  </si>
  <si>
    <t>Brockley South &amp; Ladywell W</t>
  </si>
  <si>
    <t>DEV5</t>
  </si>
  <si>
    <t>DEV6</t>
  </si>
  <si>
    <t>DNE1</t>
  </si>
  <si>
    <t>New Cross</t>
  </si>
  <si>
    <t>LC (half of) &amp; Lywell East</t>
  </si>
  <si>
    <t>DNE6</t>
  </si>
  <si>
    <t>Blackheath (+ bit of LC)</t>
  </si>
  <si>
    <t>LE</t>
  </si>
  <si>
    <t>DNE4</t>
  </si>
  <si>
    <t>Split along the railway line</t>
  </si>
  <si>
    <t>LD + LE</t>
  </si>
  <si>
    <t>DNE5</t>
  </si>
  <si>
    <t>Lee Green</t>
  </si>
  <si>
    <t>LC, Catford S &amp;  Whitefoot</t>
  </si>
  <si>
    <t>DNE2</t>
  </si>
  <si>
    <t>DNE3</t>
  </si>
  <si>
    <t>Catford S &amp; Whitefoot</t>
  </si>
  <si>
    <t>DBR4</t>
  </si>
  <si>
    <t>Brockley</t>
  </si>
  <si>
    <t>Grove Park</t>
  </si>
  <si>
    <t>DBR5</t>
  </si>
  <si>
    <t>Downham &amp; Whitfoot</t>
  </si>
  <si>
    <t>Bellingham + Whitefoot (1)</t>
  </si>
  <si>
    <t>LWAP + LE</t>
  </si>
  <si>
    <t>Sydenham</t>
  </si>
  <si>
    <t>DBR6</t>
  </si>
  <si>
    <t>LWAP</t>
  </si>
  <si>
    <t>Perryvale</t>
  </si>
  <si>
    <t>Forrest Hill</t>
  </si>
  <si>
    <t>DBR1</t>
  </si>
  <si>
    <t>average</t>
  </si>
  <si>
    <t>DBR3</t>
  </si>
  <si>
    <t>DBR2</t>
  </si>
  <si>
    <t>DLA3</t>
  </si>
  <si>
    <t>Ladywell</t>
  </si>
  <si>
    <t>DLA4</t>
  </si>
  <si>
    <t>DLA5</t>
  </si>
  <si>
    <t>DLA6</t>
  </si>
  <si>
    <t>DTE1</t>
  </si>
  <si>
    <t>Telegraph Hill</t>
  </si>
  <si>
    <t>DTE2</t>
  </si>
  <si>
    <t>DTE3</t>
  </si>
  <si>
    <t>DTE4</t>
  </si>
  <si>
    <t>DTE5</t>
  </si>
  <si>
    <t>DTE6</t>
  </si>
  <si>
    <t>DLA1</t>
  </si>
  <si>
    <t>DLA2</t>
  </si>
  <si>
    <t>DLC2</t>
  </si>
  <si>
    <t>Lewisham Central</t>
  </si>
  <si>
    <t>Split by Quaggy River. Mercator Estate added to 7</t>
  </si>
  <si>
    <t>DLC3</t>
  </si>
  <si>
    <t>DLC4</t>
  </si>
  <si>
    <t>EBL1</t>
  </si>
  <si>
    <t>Blackheath</t>
  </si>
  <si>
    <t>EBL2</t>
  </si>
  <si>
    <t>EBL3</t>
  </si>
  <si>
    <t>EBL4</t>
  </si>
  <si>
    <t>EBL5</t>
  </si>
  <si>
    <t>EBL6</t>
  </si>
  <si>
    <t>DCR1</t>
  </si>
  <si>
    <t>Crofton Park</t>
  </si>
  <si>
    <t>DCR2</t>
  </si>
  <si>
    <t>DCR3</t>
  </si>
  <si>
    <t>DCR4</t>
  </si>
  <si>
    <t>DCR5</t>
  </si>
  <si>
    <t>DCR6</t>
  </si>
  <si>
    <t>ERU2</t>
  </si>
  <si>
    <t>Rushey Green</t>
  </si>
  <si>
    <t>Mostly in 8. Dunstans College area to go into 11</t>
  </si>
  <si>
    <t>ELG1</t>
  </si>
  <si>
    <t>ELG2</t>
  </si>
  <si>
    <t>ELG3</t>
  </si>
  <si>
    <t>ELG4</t>
  </si>
  <si>
    <t>ELG5</t>
  </si>
  <si>
    <t>ELG6</t>
  </si>
  <si>
    <t>DLC1</t>
  </si>
  <si>
    <t>DLC6</t>
  </si>
  <si>
    <t>ECA4</t>
  </si>
  <si>
    <t>Catford South</t>
  </si>
  <si>
    <t>ECA5</t>
  </si>
  <si>
    <t>EWH1</t>
  </si>
  <si>
    <t>Whitefoot</t>
  </si>
  <si>
    <t>EWH2</t>
  </si>
  <si>
    <t>ERU1</t>
  </si>
  <si>
    <t>ERU3</t>
  </si>
  <si>
    <t>ERU4</t>
  </si>
  <si>
    <t>ERU5</t>
  </si>
  <si>
    <t>DLC5</t>
  </si>
  <si>
    <t>ECA1</t>
  </si>
  <si>
    <t>ECA2</t>
  </si>
  <si>
    <t>ECA3</t>
  </si>
  <si>
    <t>ECA6</t>
  </si>
  <si>
    <t>EWH5</t>
  </si>
  <si>
    <t>EWH6</t>
  </si>
  <si>
    <t>EGR1</t>
  </si>
  <si>
    <t>EGR2</t>
  </si>
  <si>
    <t>EGR3</t>
  </si>
  <si>
    <t>EGR4</t>
  </si>
  <si>
    <t>EGR5</t>
  </si>
  <si>
    <t>EGR6</t>
  </si>
  <si>
    <t>EDO2</t>
  </si>
  <si>
    <t>Downham</t>
  </si>
  <si>
    <t>EDO3</t>
  </si>
  <si>
    <t>EDO4</t>
  </si>
  <si>
    <t>EDO5</t>
  </si>
  <si>
    <t>EDO6</t>
  </si>
  <si>
    <t>EWH3</t>
  </si>
  <si>
    <t>EWH4</t>
  </si>
  <si>
    <t>EDO1</t>
  </si>
  <si>
    <t>WBE1</t>
  </si>
  <si>
    <t>Bellingham</t>
  </si>
  <si>
    <t>WBE2</t>
  </si>
  <si>
    <t>WBE3</t>
  </si>
  <si>
    <t>WBE4</t>
  </si>
  <si>
    <t>WBE5</t>
  </si>
  <si>
    <t>WBE6</t>
  </si>
  <si>
    <t>WFO1</t>
  </si>
  <si>
    <t>Forest Hill</t>
  </si>
  <si>
    <t>WFO2</t>
  </si>
  <si>
    <t>WFO3</t>
  </si>
  <si>
    <t>WFO4</t>
  </si>
  <si>
    <t>WFO5</t>
  </si>
  <si>
    <t>WFO6</t>
  </si>
  <si>
    <t>WFO7</t>
  </si>
  <si>
    <t>WPE1</t>
  </si>
  <si>
    <t>Perry Vale</t>
  </si>
  <si>
    <t>WPE2</t>
  </si>
  <si>
    <t>WPE3</t>
  </si>
  <si>
    <t>WPE4</t>
  </si>
  <si>
    <t>WPE5</t>
  </si>
  <si>
    <t>WPE6</t>
  </si>
  <si>
    <t>WSY1</t>
  </si>
  <si>
    <t>WSY2</t>
  </si>
  <si>
    <t>WSY3</t>
  </si>
  <si>
    <t>WSY4</t>
  </si>
  <si>
    <t>WSY5</t>
  </si>
  <si>
    <t>WSY6</t>
  </si>
  <si>
    <t>WSY7</t>
  </si>
  <si>
    <t>std dev</t>
  </si>
  <si>
    <t>Rushley Green</t>
  </si>
  <si>
    <t>New Name</t>
  </si>
  <si>
    <t>Canal</t>
  </si>
  <si>
    <t>Broadway</t>
  </si>
  <si>
    <t>Hither Green</t>
  </si>
  <si>
    <t>Old Name</t>
  </si>
  <si>
    <t>Brockley North</t>
  </si>
  <si>
    <t>DBR (3), DNE (2.5)</t>
  </si>
  <si>
    <t>DEV (4)</t>
  </si>
  <si>
    <t>DNE (3.5), DEV (2)</t>
  </si>
  <si>
    <t>DLA (4), DBR(3)</t>
  </si>
  <si>
    <t>DCP(6), ERG (1)</t>
  </si>
  <si>
    <t>No Change</t>
  </si>
  <si>
    <t>DLC (3), DLA (2)</t>
  </si>
  <si>
    <t>ELG(6), DLC (0.5)</t>
  </si>
  <si>
    <t>DLC (2), ECS 2), EWH(2)</t>
  </si>
  <si>
    <t>ECS (4) EWH (2)</t>
  </si>
  <si>
    <t>EGP (6)</t>
  </si>
  <si>
    <t>EDO (5), EWH (2)</t>
  </si>
  <si>
    <t>WBE (6), EWH(1)</t>
  </si>
  <si>
    <t>ERG (4.5), DLC (1)</t>
  </si>
  <si>
    <t>Composition</t>
  </si>
  <si>
    <t>Raw Deviation from Ave.</t>
  </si>
  <si>
    <t>X</t>
  </si>
  <si>
    <t>% Dev from Average</t>
  </si>
  <si>
    <t>LE + LD</t>
  </si>
  <si>
    <t>2025</t>
  </si>
  <si>
    <t>Constituency</t>
  </si>
  <si>
    <t>Deptford</t>
  </si>
  <si>
    <t>East</t>
  </si>
  <si>
    <t>D</t>
  </si>
  <si>
    <t>E</t>
  </si>
  <si>
    <t>W</t>
  </si>
  <si>
    <t>West &amp; Penge</t>
  </si>
  <si>
    <t>Code</t>
  </si>
  <si>
    <t>Name</t>
  </si>
  <si>
    <t>Row Labels</t>
  </si>
  <si>
    <t>Grand Total</t>
  </si>
  <si>
    <t>Sum of 2025</t>
  </si>
  <si>
    <t>Deptford Total</t>
  </si>
  <si>
    <t>East Total</t>
  </si>
  <si>
    <t>West &amp; Penge Total</t>
  </si>
  <si>
    <t>Max</t>
  </si>
  <si>
    <t>Average</t>
  </si>
  <si>
    <t>diff from mean</t>
  </si>
  <si>
    <t>sign(diff)</t>
  </si>
  <si>
    <t>wards</t>
  </si>
  <si>
    <t>Ward Name</t>
  </si>
  <si>
    <t>+ 1 ward from Rushley Green</t>
  </si>
  <si>
    <t>Councilors</t>
  </si>
  <si>
    <t>Ave. Voters</t>
  </si>
  <si>
    <t>Wards (if equal)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</si>
</sst>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1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0" xfId="0" applyNumberFormat="1" applyFont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/>
    <xf numFmtId="3" fontId="9" fillId="2" borderId="0" xfId="3" applyNumberFormat="1"/>
    <xf numFmtId="3" fontId="1" fillId="0" borderId="0" xfId="0" quotePrefix="1" applyNumberFormat="1" applyFont="1"/>
    <xf numFmtId="3" fontId="10" fillId="3" borderId="0" xfId="4" applyNumberFormat="1"/>
    <xf numFmtId="3" fontId="10" fillId="3" borderId="0" xfId="4" quotePrefix="1" applyNumberFormat="1"/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13" fillId="4" borderId="10" xfId="0" applyFont="1" applyFill="1" applyBorder="1"/>
    <xf numFmtId="0" fontId="13" fillId="0" borderId="12" xfId="0" applyFont="1" applyBorder="1"/>
    <xf numFmtId="1" fontId="12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64" fontId="0" fillId="0" borderId="0" xfId="0" applyNumberFormat="1" applyFont="1" applyAlignment="1"/>
    <xf numFmtId="43" fontId="0" fillId="0" borderId="0" xfId="1" applyFont="1" applyAlignment="1"/>
    <xf numFmtId="164" fontId="0" fillId="0" borderId="0" xfId="1" applyNumberFormat="1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2" applyFont="1"/>
    <xf numFmtId="0" fontId="0" fillId="0" borderId="0" xfId="0" pivotButton="1" applyFont="1" applyAlignment="1">
      <alignment vertical="center"/>
    </xf>
    <xf numFmtId="0" fontId="0" fillId="0" borderId="0" xfId="0" applyFont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 wrapText="1"/>
    </xf>
    <xf numFmtId="43" fontId="13" fillId="0" borderId="12" xfId="1" applyFont="1" applyBorder="1"/>
    <xf numFmtId="164" fontId="13" fillId="0" borderId="12" xfId="1" applyNumberFormat="1" applyFont="1" applyBorder="1"/>
    <xf numFmtId="164" fontId="13" fillId="4" borderId="11" xfId="0" applyNumberFormat="1" applyFont="1" applyFill="1" applyBorder="1" applyAlignment="1"/>
  </cellXfs>
  <cellStyles count="5">
    <cellStyle name="Bad" xfId="3" builtinId="27"/>
    <cellStyle name="Comma" xfId="1" builtinId="3"/>
    <cellStyle name="Neutral" xfId="4" builtinId="28"/>
    <cellStyle name="Normal" xfId="0" builtinId="0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alignment vertical="center"/>
    </dxf>
    <dxf>
      <alignment vertical="center"/>
    </dxf>
    <dxf>
      <alignment vertical="center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" refreshedDate="43688.66454513889" createdVersion="6" refreshedVersion="6" minRefreshableVersion="3" recordCount="112" xr:uid="{8B709790-F0D1-44FE-BEA1-8CA3FA173DB4}">
  <cacheSource type="worksheet">
    <worksheetSource name="Table1"/>
  </cacheSource>
  <cacheFields count="5">
    <cacheField name="PD" numFmtId="0">
      <sharedItems/>
    </cacheField>
    <cacheField name="Constituency" numFmtId="0">
      <sharedItems count="3">
        <s v="Deptford"/>
        <s v="East"/>
        <s v="West &amp; Penge"/>
      </sharedItems>
    </cacheField>
    <cacheField name="Current Ward" numFmtId="0">
      <sharedItems count="18">
        <s v="Evelyn"/>
        <s v="New Cross"/>
        <s v="Brockley"/>
        <s v="Ladywell"/>
        <s v="Telegraph Hill"/>
        <s v="Lewisham Central"/>
        <s v="Blackheath"/>
        <s v="Crofton Park"/>
        <s v="Rushey Green"/>
        <s v="Lee Green"/>
        <s v="Catford South"/>
        <s v="Whitefoot"/>
        <s v="Grove Park"/>
        <s v="Downham"/>
        <s v="Bellingham"/>
        <s v="Forest Hill"/>
        <s v="Perry Vale"/>
        <s v="Sydenham"/>
      </sharedItems>
    </cacheField>
    <cacheField name="2025" numFmtId="0">
      <sharedItems containsSemiMixedTypes="0" containsString="0" containsNumber="1" containsInteger="1" minValue="20" maxValue="4314"/>
    </cacheField>
    <cacheField name="NEW WARD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8"/>
        <n v="17"/>
        <n v="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s v="DEV1"/>
    <x v="0"/>
    <x v="0"/>
    <n v="2870"/>
    <x v="0"/>
  </r>
  <r>
    <s v="DEV2"/>
    <x v="0"/>
    <x v="0"/>
    <n v="2152"/>
    <x v="0"/>
  </r>
  <r>
    <s v="DEV3"/>
    <x v="0"/>
    <x v="0"/>
    <n v="2902"/>
    <x v="0"/>
  </r>
  <r>
    <s v="DEV4"/>
    <x v="0"/>
    <x v="0"/>
    <n v="4164"/>
    <x v="0"/>
  </r>
  <r>
    <s v="DEV5"/>
    <x v="0"/>
    <x v="0"/>
    <n v="1328"/>
    <x v="1"/>
  </r>
  <r>
    <s v="DEV6"/>
    <x v="0"/>
    <x v="0"/>
    <n v="1833"/>
    <x v="1"/>
  </r>
  <r>
    <s v="DNE1"/>
    <x v="0"/>
    <x v="1"/>
    <n v="1953"/>
    <x v="1"/>
  </r>
  <r>
    <s v="DNE6"/>
    <x v="0"/>
    <x v="1"/>
    <n v="2241"/>
    <x v="1"/>
  </r>
  <r>
    <s v="DNE4"/>
    <x v="0"/>
    <x v="1"/>
    <n v="1038"/>
    <x v="1"/>
  </r>
  <r>
    <s v="DNE5"/>
    <x v="0"/>
    <x v="1"/>
    <n v="3586"/>
    <x v="1"/>
  </r>
  <r>
    <s v="DNE2"/>
    <x v="0"/>
    <x v="1"/>
    <n v="2928"/>
    <x v="2"/>
  </r>
  <r>
    <s v="DNE3"/>
    <x v="0"/>
    <x v="1"/>
    <n v="1791"/>
    <x v="2"/>
  </r>
  <r>
    <s v="DBR4"/>
    <x v="0"/>
    <x v="2"/>
    <n v="2015"/>
    <x v="2"/>
  </r>
  <r>
    <s v="DBR5"/>
    <x v="0"/>
    <x v="2"/>
    <n v="1869"/>
    <x v="2"/>
  </r>
  <r>
    <s v="DNE4"/>
    <x v="0"/>
    <x v="1"/>
    <n v="884"/>
    <x v="2"/>
  </r>
  <r>
    <s v="DBR6"/>
    <x v="0"/>
    <x v="2"/>
    <n v="3161"/>
    <x v="2"/>
  </r>
  <r>
    <s v="DBR1"/>
    <x v="0"/>
    <x v="2"/>
    <n v="1502"/>
    <x v="3"/>
  </r>
  <r>
    <s v="DBR3"/>
    <x v="0"/>
    <x v="2"/>
    <n v="1805"/>
    <x v="3"/>
  </r>
  <r>
    <s v="DBR2"/>
    <x v="0"/>
    <x v="2"/>
    <n v="1928"/>
    <x v="3"/>
  </r>
  <r>
    <s v="DLA3"/>
    <x v="0"/>
    <x v="3"/>
    <n v="1624"/>
    <x v="3"/>
  </r>
  <r>
    <s v="DLA4"/>
    <x v="0"/>
    <x v="3"/>
    <n v="1104"/>
    <x v="3"/>
  </r>
  <r>
    <s v="DLA5"/>
    <x v="0"/>
    <x v="3"/>
    <n v="2134"/>
    <x v="3"/>
  </r>
  <r>
    <s v="DLA6"/>
    <x v="0"/>
    <x v="3"/>
    <n v="1802"/>
    <x v="3"/>
  </r>
  <r>
    <s v="DTE1"/>
    <x v="0"/>
    <x v="4"/>
    <n v="2226"/>
    <x v="4"/>
  </r>
  <r>
    <s v="DTE2"/>
    <x v="0"/>
    <x v="4"/>
    <n v="2335"/>
    <x v="4"/>
  </r>
  <r>
    <s v="DTE3"/>
    <x v="0"/>
    <x v="4"/>
    <n v="1675"/>
    <x v="4"/>
  </r>
  <r>
    <s v="DTE4"/>
    <x v="0"/>
    <x v="4"/>
    <n v="1871"/>
    <x v="4"/>
  </r>
  <r>
    <s v="DTE5"/>
    <x v="0"/>
    <x v="4"/>
    <n v="1915"/>
    <x v="4"/>
  </r>
  <r>
    <s v="DTE6"/>
    <x v="0"/>
    <x v="4"/>
    <n v="1706"/>
    <x v="4"/>
  </r>
  <r>
    <s v="DLA1"/>
    <x v="0"/>
    <x v="3"/>
    <n v="1116"/>
    <x v="5"/>
  </r>
  <r>
    <s v="DLA2"/>
    <x v="0"/>
    <x v="3"/>
    <n v="2074"/>
    <x v="5"/>
  </r>
  <r>
    <s v="DLC2"/>
    <x v="0"/>
    <x v="5"/>
    <n v="1459"/>
    <x v="5"/>
  </r>
  <r>
    <s v="DLC3"/>
    <x v="0"/>
    <x v="5"/>
    <n v="4314"/>
    <x v="5"/>
  </r>
  <r>
    <s v="DLC4"/>
    <x v="0"/>
    <x v="5"/>
    <n v="2230"/>
    <x v="5"/>
  </r>
  <r>
    <s v="DLC2"/>
    <x v="0"/>
    <x v="5"/>
    <n v="1022"/>
    <x v="6"/>
  </r>
  <r>
    <s v="EBL1"/>
    <x v="1"/>
    <x v="6"/>
    <n v="1670"/>
    <x v="6"/>
  </r>
  <r>
    <s v="EBL2"/>
    <x v="1"/>
    <x v="6"/>
    <n v="1302"/>
    <x v="6"/>
  </r>
  <r>
    <s v="EBL3"/>
    <x v="1"/>
    <x v="6"/>
    <n v="1837"/>
    <x v="6"/>
  </r>
  <r>
    <s v="EBL4"/>
    <x v="1"/>
    <x v="6"/>
    <n v="2377"/>
    <x v="6"/>
  </r>
  <r>
    <s v="EBL5"/>
    <x v="1"/>
    <x v="6"/>
    <n v="1297"/>
    <x v="6"/>
  </r>
  <r>
    <s v="EBL6"/>
    <x v="1"/>
    <x v="6"/>
    <n v="1702"/>
    <x v="6"/>
  </r>
  <r>
    <s v="DCR1"/>
    <x v="0"/>
    <x v="7"/>
    <n v="1846"/>
    <x v="7"/>
  </r>
  <r>
    <s v="DCR2"/>
    <x v="0"/>
    <x v="7"/>
    <n v="1851"/>
    <x v="7"/>
  </r>
  <r>
    <s v="DCR3"/>
    <x v="0"/>
    <x v="7"/>
    <n v="1705"/>
    <x v="7"/>
  </r>
  <r>
    <s v="DCR4"/>
    <x v="0"/>
    <x v="7"/>
    <n v="1927"/>
    <x v="7"/>
  </r>
  <r>
    <s v="DCR5"/>
    <x v="0"/>
    <x v="7"/>
    <n v="1916"/>
    <x v="7"/>
  </r>
  <r>
    <s v="DCR6"/>
    <x v="0"/>
    <x v="7"/>
    <n v="1664"/>
    <x v="7"/>
  </r>
  <r>
    <s v="ERU2"/>
    <x v="1"/>
    <x v="8"/>
    <n v="1919"/>
    <x v="7"/>
  </r>
  <r>
    <s v="ELG1"/>
    <x v="1"/>
    <x v="9"/>
    <n v="1866"/>
    <x v="8"/>
  </r>
  <r>
    <s v="ELG2"/>
    <x v="1"/>
    <x v="9"/>
    <n v="2048"/>
    <x v="8"/>
  </r>
  <r>
    <s v="ELG3"/>
    <x v="1"/>
    <x v="9"/>
    <n v="2121"/>
    <x v="8"/>
  </r>
  <r>
    <s v="ELG4"/>
    <x v="1"/>
    <x v="9"/>
    <n v="1876"/>
    <x v="8"/>
  </r>
  <r>
    <s v="ELG5"/>
    <x v="1"/>
    <x v="9"/>
    <n v="1393"/>
    <x v="8"/>
  </r>
  <r>
    <s v="ELG6"/>
    <x v="1"/>
    <x v="9"/>
    <n v="1414"/>
    <x v="8"/>
  </r>
  <r>
    <s v="DLC1"/>
    <x v="0"/>
    <x v="5"/>
    <n v="3274"/>
    <x v="9"/>
  </r>
  <r>
    <s v="DLC6"/>
    <x v="0"/>
    <x v="5"/>
    <n v="1858"/>
    <x v="9"/>
  </r>
  <r>
    <s v="ECA4"/>
    <x v="1"/>
    <x v="10"/>
    <n v="1877"/>
    <x v="9"/>
  </r>
  <r>
    <s v="ECA5"/>
    <x v="1"/>
    <x v="10"/>
    <n v="1551"/>
    <x v="9"/>
  </r>
  <r>
    <s v="EWH1"/>
    <x v="1"/>
    <x v="11"/>
    <n v="2354"/>
    <x v="9"/>
  </r>
  <r>
    <s v="EWH2"/>
    <x v="1"/>
    <x v="11"/>
    <n v="1124"/>
    <x v="9"/>
  </r>
  <r>
    <s v="ERU1"/>
    <x v="1"/>
    <x v="8"/>
    <n v="2866"/>
    <x v="10"/>
  </r>
  <r>
    <s v="ERU3"/>
    <x v="1"/>
    <x v="8"/>
    <n v="2013"/>
    <x v="10"/>
  </r>
  <r>
    <s v="ERU4"/>
    <x v="1"/>
    <x v="8"/>
    <n v="2446"/>
    <x v="10"/>
  </r>
  <r>
    <s v="ERU5"/>
    <x v="1"/>
    <x v="8"/>
    <n v="1802"/>
    <x v="10"/>
  </r>
  <r>
    <s v="DLC5"/>
    <x v="0"/>
    <x v="5"/>
    <n v="1674"/>
    <x v="10"/>
  </r>
  <r>
    <s v="ERU2"/>
    <x v="1"/>
    <x v="8"/>
    <n v="20"/>
    <x v="10"/>
  </r>
  <r>
    <s v="ECA1"/>
    <x v="1"/>
    <x v="10"/>
    <n v="1468"/>
    <x v="11"/>
  </r>
  <r>
    <s v="ECA2"/>
    <x v="1"/>
    <x v="10"/>
    <n v="2069"/>
    <x v="11"/>
  </r>
  <r>
    <s v="ECA3"/>
    <x v="1"/>
    <x v="10"/>
    <n v="1671"/>
    <x v="11"/>
  </r>
  <r>
    <s v="ECA6"/>
    <x v="1"/>
    <x v="10"/>
    <n v="1935"/>
    <x v="11"/>
  </r>
  <r>
    <s v="EWH5"/>
    <x v="1"/>
    <x v="11"/>
    <n v="1649"/>
    <x v="11"/>
  </r>
  <r>
    <s v="EWH6"/>
    <x v="1"/>
    <x v="11"/>
    <n v="2283"/>
    <x v="11"/>
  </r>
  <r>
    <s v="EGR1"/>
    <x v="1"/>
    <x v="12"/>
    <n v="1652"/>
    <x v="12"/>
  </r>
  <r>
    <s v="EGR2"/>
    <x v="1"/>
    <x v="12"/>
    <n v="1426"/>
    <x v="12"/>
  </r>
  <r>
    <s v="EGR3"/>
    <x v="1"/>
    <x v="12"/>
    <n v="1945"/>
    <x v="12"/>
  </r>
  <r>
    <s v="EGR4"/>
    <x v="1"/>
    <x v="12"/>
    <n v="2335"/>
    <x v="12"/>
  </r>
  <r>
    <s v="EGR5"/>
    <x v="1"/>
    <x v="12"/>
    <n v="1244"/>
    <x v="12"/>
  </r>
  <r>
    <s v="EGR6"/>
    <x v="1"/>
    <x v="12"/>
    <n v="1724"/>
    <x v="12"/>
  </r>
  <r>
    <s v="EDO2"/>
    <x v="1"/>
    <x v="13"/>
    <n v="1226"/>
    <x v="13"/>
  </r>
  <r>
    <s v="EDO3"/>
    <x v="1"/>
    <x v="13"/>
    <n v="1668"/>
    <x v="13"/>
  </r>
  <r>
    <s v="EDO4"/>
    <x v="1"/>
    <x v="13"/>
    <n v="2088"/>
    <x v="13"/>
  </r>
  <r>
    <s v="EDO5"/>
    <x v="1"/>
    <x v="13"/>
    <n v="2595"/>
    <x v="13"/>
  </r>
  <r>
    <s v="EDO6"/>
    <x v="1"/>
    <x v="13"/>
    <n v="1150"/>
    <x v="13"/>
  </r>
  <r>
    <s v="EWH3"/>
    <x v="1"/>
    <x v="11"/>
    <n v="1308"/>
    <x v="13"/>
  </r>
  <r>
    <s v="EWH4"/>
    <x v="1"/>
    <x v="11"/>
    <n v="1237"/>
    <x v="13"/>
  </r>
  <r>
    <s v="EDO1"/>
    <x v="1"/>
    <x v="13"/>
    <n v="1699"/>
    <x v="14"/>
  </r>
  <r>
    <s v="WBE1"/>
    <x v="2"/>
    <x v="14"/>
    <n v="1979"/>
    <x v="14"/>
  </r>
  <r>
    <s v="WBE2"/>
    <x v="2"/>
    <x v="14"/>
    <n v="2226"/>
    <x v="14"/>
  </r>
  <r>
    <s v="WBE3"/>
    <x v="2"/>
    <x v="14"/>
    <n v="1528"/>
    <x v="14"/>
  </r>
  <r>
    <s v="WBE4"/>
    <x v="2"/>
    <x v="14"/>
    <n v="1608"/>
    <x v="14"/>
  </r>
  <r>
    <s v="WBE5"/>
    <x v="2"/>
    <x v="14"/>
    <n v="1249"/>
    <x v="14"/>
  </r>
  <r>
    <s v="WBE6"/>
    <x v="2"/>
    <x v="14"/>
    <n v="1663"/>
    <x v="14"/>
  </r>
  <r>
    <s v="WFO1"/>
    <x v="2"/>
    <x v="15"/>
    <n v="2313"/>
    <x v="15"/>
  </r>
  <r>
    <s v="WFO2"/>
    <x v="2"/>
    <x v="15"/>
    <n v="1530"/>
    <x v="15"/>
  </r>
  <r>
    <s v="WFO3"/>
    <x v="2"/>
    <x v="15"/>
    <n v="1950"/>
    <x v="15"/>
  </r>
  <r>
    <s v="WFO4"/>
    <x v="2"/>
    <x v="15"/>
    <n v="1502"/>
    <x v="15"/>
  </r>
  <r>
    <s v="WFO5"/>
    <x v="2"/>
    <x v="15"/>
    <n v="1825"/>
    <x v="15"/>
  </r>
  <r>
    <s v="WFO6"/>
    <x v="2"/>
    <x v="15"/>
    <n v="607"/>
    <x v="15"/>
  </r>
  <r>
    <s v="WFO7"/>
    <x v="2"/>
    <x v="15"/>
    <n v="1093"/>
    <x v="15"/>
  </r>
  <r>
    <s v="WPE1"/>
    <x v="2"/>
    <x v="16"/>
    <n v="2103"/>
    <x v="16"/>
  </r>
  <r>
    <s v="WPE2"/>
    <x v="2"/>
    <x v="16"/>
    <n v="2021"/>
    <x v="16"/>
  </r>
  <r>
    <s v="WPE3"/>
    <x v="2"/>
    <x v="16"/>
    <n v="1590"/>
    <x v="16"/>
  </r>
  <r>
    <s v="WPE4"/>
    <x v="2"/>
    <x v="16"/>
    <n v="1706"/>
    <x v="16"/>
  </r>
  <r>
    <s v="WPE5"/>
    <x v="2"/>
    <x v="16"/>
    <n v="1638"/>
    <x v="16"/>
  </r>
  <r>
    <s v="WPE6"/>
    <x v="2"/>
    <x v="16"/>
    <n v="1937"/>
    <x v="16"/>
  </r>
  <r>
    <s v="WSY1"/>
    <x v="2"/>
    <x v="17"/>
    <n v="1385"/>
    <x v="17"/>
  </r>
  <r>
    <s v="WSY2"/>
    <x v="2"/>
    <x v="17"/>
    <n v="1647"/>
    <x v="17"/>
  </r>
  <r>
    <s v="WSY3"/>
    <x v="2"/>
    <x v="17"/>
    <n v="1262"/>
    <x v="17"/>
  </r>
  <r>
    <s v="WSY4"/>
    <x v="2"/>
    <x v="17"/>
    <n v="1466"/>
    <x v="17"/>
  </r>
  <r>
    <s v="WSY5"/>
    <x v="2"/>
    <x v="17"/>
    <n v="1896"/>
    <x v="17"/>
  </r>
  <r>
    <s v="WSY6"/>
    <x v="2"/>
    <x v="17"/>
    <n v="1736"/>
    <x v="17"/>
  </r>
  <r>
    <s v="WSY7"/>
    <x v="2"/>
    <x v="17"/>
    <n v="1712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5609B1-1E86-4A99-9659-62FFC4B547CA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5">
    <pivotField showAll="0"/>
    <pivotField showAll="0"/>
    <pivotField showAll="0"/>
    <pivotField dataField="1" showAll="0"/>
    <pivotField axis="axisRow" showAll="0" sortType="descending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19">
    <i>
      <x v="7"/>
    </i>
    <i>
      <x v="2"/>
    </i>
    <i>
      <x/>
    </i>
    <i>
      <x v="9"/>
    </i>
    <i>
      <x v="1"/>
    </i>
    <i>
      <x v="14"/>
    </i>
    <i>
      <x v="3"/>
    </i>
    <i>
      <x v="4"/>
    </i>
    <i>
      <x v="13"/>
    </i>
    <i>
      <x v="6"/>
    </i>
    <i>
      <x v="5"/>
    </i>
    <i>
      <x v="15"/>
    </i>
    <i>
      <x v="11"/>
    </i>
    <i>
      <x v="16"/>
    </i>
    <i>
      <x v="10"/>
    </i>
    <i>
      <x v="17"/>
    </i>
    <i>
      <x v="8"/>
    </i>
    <i>
      <x v="12"/>
    </i>
    <i t="grand">
      <x/>
    </i>
  </rowItems>
  <colItems count="1">
    <i/>
  </colItems>
  <dataFields count="1">
    <dataField name="Sum of 2025" fld="3" baseField="0" baseItem="0" numFmtId="164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98B397-3B67-4043-A4B8-EF2B74D38CD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25" firstHeaderRow="1" firstDataRow="1" firstDataCol="2"/>
  <pivotFields count="5"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19">
        <item x="14"/>
        <item x="6"/>
        <item x="2"/>
        <item x="10"/>
        <item x="7"/>
        <item x="13"/>
        <item x="0"/>
        <item x="15"/>
        <item x="12"/>
        <item x="3"/>
        <item x="9"/>
        <item x="5"/>
        <item x="1"/>
        <item x="16"/>
        <item x="8"/>
        <item x="17"/>
        <item x="4"/>
        <item x="11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22">
    <i>
      <x/>
      <x v="2"/>
    </i>
    <i r="1">
      <x v="4"/>
    </i>
    <i r="1">
      <x v="6"/>
    </i>
    <i r="1">
      <x v="9"/>
    </i>
    <i r="1">
      <x v="11"/>
    </i>
    <i r="1">
      <x v="12"/>
    </i>
    <i r="1">
      <x v="16"/>
    </i>
    <i t="default">
      <x/>
    </i>
    <i>
      <x v="1"/>
      <x v="1"/>
    </i>
    <i r="1">
      <x v="3"/>
    </i>
    <i r="1">
      <x v="5"/>
    </i>
    <i r="1">
      <x v="8"/>
    </i>
    <i r="1">
      <x v="10"/>
    </i>
    <i r="1">
      <x v="14"/>
    </i>
    <i r="1">
      <x v="17"/>
    </i>
    <i t="default">
      <x v="1"/>
    </i>
    <i>
      <x v="2"/>
      <x/>
    </i>
    <i r="1">
      <x v="7"/>
    </i>
    <i r="1">
      <x v="13"/>
    </i>
    <i r="1">
      <x v="15"/>
    </i>
    <i t="default">
      <x v="2"/>
    </i>
    <i t="grand">
      <x/>
    </i>
  </rowItems>
  <colItems count="1">
    <i/>
  </colItems>
  <dataFields count="1">
    <dataField name="Sum of 2025" fld="3" baseField="0" baseItem="0" numFmtId="164"/>
  </dataFields>
  <formats count="4"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field="2" type="button" dataOnly="0" labelOnly="1" outline="0" axis="axisRow" fieldPosition="1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1F8CFA-1D58-4DBE-951C-9FBD61854EEF}" name="Table1" displayName="Table1" ref="A1:G113" totalsRowShown="0" headerRowDxfId="27" headerRowBorderDxfId="26" tableBorderDxfId="25" totalsRowBorderDxfId="24">
  <autoFilter ref="A1:G113" xr:uid="{9C4EDBB6-5887-4262-A758-36E5407C1D90}"/>
  <tableColumns count="7">
    <tableColumn id="1" xr3:uid="{7B9C9024-3F38-4FB6-8B31-117B809F8AC8}" name="PD" dataDxfId="23"/>
    <tableColumn id="5" xr3:uid="{427335C0-B54C-4E2F-A2FF-618BA5F46E1D}" name="Constituency" dataDxfId="22"/>
    <tableColumn id="2" xr3:uid="{68417ABF-FE2D-4B21-807E-BA8AC75457F1}" name="Current Ward" dataDxfId="21"/>
    <tableColumn id="3" xr3:uid="{7833E666-7B06-4C4D-B599-EB2AB680EB06}" name="2025" dataDxfId="20"/>
    <tableColumn id="6" xr3:uid="{BC2DB8E4-8CAB-43B9-8705-8DCDC20E9E8E}" name="diff from mean" dataDxfId="19">
      <calculatedColumnFormula>Table1[[#This Row],[2025]]-$D$116</calculatedColumnFormula>
    </tableColumn>
    <tableColumn id="7" xr3:uid="{A7FBF095-0F89-4931-9171-B866C7CCC096}" name="sign(diff)" dataDxfId="18">
      <calculatedColumnFormula>SIGN(Table1[[#This Row],[diff from mean]])</calculatedColumnFormula>
    </tableColumn>
    <tableColumn id="4" xr3:uid="{34F79BAC-6E21-4CF6-AE70-BCABFEE82DA3}" name="NEW WARD" dataDxfId="1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48AEE6-9C81-47F0-89CB-604F57BA4104}" name="Table2" displayName="Table2" ref="A1:J19" totalsRowShown="0" headerRowDxfId="11" dataDxfId="10">
  <autoFilter ref="A1:J19" xr:uid="{D473BB56-A852-43A1-A35A-3FFD70E88BCF}"/>
  <tableColumns count="10">
    <tableColumn id="1" xr3:uid="{4B65A72F-50C9-4014-A888-1FB08E09D7D6}" name="Ward Key" dataDxfId="9"/>
    <tableColumn id="2" xr3:uid="{621A481D-1F8D-4361-AA01-DDF986186096}" name="Voters" dataDxfId="8"/>
    <tableColumn id="3" xr3:uid="{D84174D9-32E0-4917-9FD7-F06FF0839B1D}" name="Old Name" dataDxfId="7"/>
    <tableColumn id="4" xr3:uid="{6630AF0C-00E0-4D14-8DD2-DB9423E6BCE9}" name="Composition" dataDxfId="6"/>
    <tableColumn id="5" xr3:uid="{2C420186-1E9A-4D85-9200-A2D7A9FB5F42}" name="Desc" dataDxfId="5"/>
    <tableColumn id="6" xr3:uid="{E59E8A39-DC8E-4036-A898-3D6B9CA265A6}" name="New Name" dataDxfId="4"/>
    <tableColumn id="7" xr3:uid="{321E5704-58CA-40D5-BBC6-77877DD23ED3}" name="Raw Deviation from Ave." dataDxfId="3">
      <calculatedColumnFormula>B2-$B$21</calculatedColumnFormula>
    </tableColumn>
    <tableColumn id="8" xr3:uid="{7685D36C-DCD8-4AB3-BCEC-26151EC35F8A}" name="X" dataDxfId="2">
      <calculatedColumnFormula>SIGN(G2)</calculatedColumnFormula>
    </tableColumn>
    <tableColumn id="9" xr3:uid="{172E10BE-CD4F-41DE-A5D1-28BA2D05E418}" name="% Dev from Average" dataDxfId="1">
      <calculatedColumnFormula>G2/$B$21</calculatedColumnFormula>
    </tableColumn>
    <tableColumn id="10" xr3:uid="{1EAE03D1-F60E-4F20-B09A-20AEBDE5D2AE}" name="CLP Mainly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ySplit="1" topLeftCell="A35" activePane="bottomLeft" state="frozen"/>
      <selection pane="bottomLeft" activeCell="B90" sqref="B90"/>
    </sheetView>
  </sheetViews>
  <sheetFormatPr defaultColWidth="12.625" defaultRowHeight="15" customHeight="1" x14ac:dyDescent="0.2"/>
  <cols>
    <col min="1" max="1" width="6.875" customWidth="1"/>
    <col min="2" max="2" width="18.625" customWidth="1"/>
    <col min="3" max="3" width="9.25" customWidth="1"/>
    <col min="4" max="4" width="9.375" customWidth="1"/>
    <col min="5" max="5" width="39.375" customWidth="1"/>
    <col min="6" max="6" width="8" customWidth="1"/>
    <col min="7" max="26" width="7.625" customWidth="1"/>
  </cols>
  <sheetData>
    <row r="1" spans="1:26" ht="42" x14ac:dyDescent="0.2">
      <c r="A1" s="2" t="s">
        <v>1</v>
      </c>
      <c r="B1" s="2" t="s">
        <v>5</v>
      </c>
      <c r="C1" s="3">
        <v>2025</v>
      </c>
      <c r="D1" s="4" t="s">
        <v>6</v>
      </c>
      <c r="E1" s="2" t="s">
        <v>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7" t="s">
        <v>8</v>
      </c>
      <c r="B2" s="8" t="s">
        <v>10</v>
      </c>
      <c r="C2" s="9">
        <v>2870</v>
      </c>
      <c r="D2" s="10">
        <v>1</v>
      </c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x14ac:dyDescent="0.25">
      <c r="A3" s="7" t="s">
        <v>12</v>
      </c>
      <c r="B3" s="8" t="s">
        <v>10</v>
      </c>
      <c r="C3" s="9">
        <v>2152</v>
      </c>
      <c r="D3" s="10">
        <v>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x14ac:dyDescent="0.25">
      <c r="A4" s="7" t="s">
        <v>14</v>
      </c>
      <c r="B4" s="8" t="s">
        <v>10</v>
      </c>
      <c r="C4" s="9">
        <v>2902</v>
      </c>
      <c r="D4" s="10">
        <v>1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x14ac:dyDescent="0.25">
      <c r="A5" s="7" t="s">
        <v>15</v>
      </c>
      <c r="B5" s="8" t="s">
        <v>10</v>
      </c>
      <c r="C5" s="9">
        <v>4164</v>
      </c>
      <c r="D5" s="10">
        <v>1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8"/>
      <c r="B6" s="11"/>
      <c r="C6" s="9"/>
      <c r="D6" s="10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7" t="s">
        <v>18</v>
      </c>
      <c r="B7" s="8" t="s">
        <v>10</v>
      </c>
      <c r="C7" s="9">
        <v>1328</v>
      </c>
      <c r="D7" s="10">
        <v>2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7" t="s">
        <v>19</v>
      </c>
      <c r="B8" s="8" t="s">
        <v>10</v>
      </c>
      <c r="C8" s="9">
        <v>1833</v>
      </c>
      <c r="D8" s="10">
        <v>2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x14ac:dyDescent="0.25">
      <c r="A9" s="7" t="s">
        <v>20</v>
      </c>
      <c r="B9" s="8" t="s">
        <v>21</v>
      </c>
      <c r="C9" s="9">
        <v>1953</v>
      </c>
      <c r="D9" s="10">
        <v>2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x14ac:dyDescent="0.25">
      <c r="A10" s="7" t="s">
        <v>23</v>
      </c>
      <c r="B10" s="8" t="s">
        <v>21</v>
      </c>
      <c r="C10" s="9">
        <v>2241</v>
      </c>
      <c r="D10" s="10">
        <v>2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x14ac:dyDescent="0.25">
      <c r="A11" s="7" t="s">
        <v>26</v>
      </c>
      <c r="B11" s="8" t="s">
        <v>21</v>
      </c>
      <c r="C11" s="9">
        <v>1038</v>
      </c>
      <c r="D11" s="10">
        <v>2</v>
      </c>
      <c r="E11" s="11" t="s">
        <v>27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x14ac:dyDescent="0.25">
      <c r="A12" s="7" t="s">
        <v>29</v>
      </c>
      <c r="B12" s="8" t="s">
        <v>21</v>
      </c>
      <c r="C12" s="9">
        <v>3586</v>
      </c>
      <c r="D12" s="10">
        <v>2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x14ac:dyDescent="0.25">
      <c r="A13" s="7"/>
      <c r="B13" s="8"/>
      <c r="C13" s="9"/>
      <c r="D13" s="10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5">
      <c r="A14" s="7" t="s">
        <v>32</v>
      </c>
      <c r="B14" s="8" t="s">
        <v>21</v>
      </c>
      <c r="C14" s="9">
        <v>2928</v>
      </c>
      <c r="D14" s="10">
        <v>3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x14ac:dyDescent="0.25">
      <c r="A15" s="7" t="s">
        <v>33</v>
      </c>
      <c r="B15" s="8" t="s">
        <v>21</v>
      </c>
      <c r="C15" s="9">
        <v>1791</v>
      </c>
      <c r="D15" s="10">
        <v>3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x14ac:dyDescent="0.25">
      <c r="A16" s="7" t="s">
        <v>35</v>
      </c>
      <c r="B16" s="8" t="s">
        <v>36</v>
      </c>
      <c r="C16" s="9">
        <v>2015</v>
      </c>
      <c r="D16" s="10">
        <v>3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x14ac:dyDescent="0.25">
      <c r="A17" s="7" t="s">
        <v>38</v>
      </c>
      <c r="B17" s="8" t="s">
        <v>36</v>
      </c>
      <c r="C17" s="9">
        <v>1869</v>
      </c>
      <c r="D17" s="10">
        <v>3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x14ac:dyDescent="0.25">
      <c r="A18" s="7" t="s">
        <v>26</v>
      </c>
      <c r="B18" s="8" t="s">
        <v>21</v>
      </c>
      <c r="C18" s="9">
        <v>884</v>
      </c>
      <c r="D18" s="10">
        <v>3</v>
      </c>
      <c r="E18" s="11" t="s">
        <v>27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x14ac:dyDescent="0.25">
      <c r="A19" s="7" t="s">
        <v>43</v>
      </c>
      <c r="B19" s="8" t="s">
        <v>36</v>
      </c>
      <c r="C19" s="9">
        <v>3161</v>
      </c>
      <c r="D19" s="10">
        <v>3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x14ac:dyDescent="0.25">
      <c r="A20" s="7"/>
      <c r="B20" s="8"/>
      <c r="C20" s="9"/>
      <c r="D20" s="10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7" t="s">
        <v>47</v>
      </c>
      <c r="B21" s="8" t="s">
        <v>36</v>
      </c>
      <c r="C21" s="9">
        <v>1502</v>
      </c>
      <c r="D21" s="10">
        <v>4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7" t="s">
        <v>49</v>
      </c>
      <c r="B22" s="8" t="s">
        <v>36</v>
      </c>
      <c r="C22" s="9">
        <v>1805</v>
      </c>
      <c r="D22" s="10">
        <v>4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7" t="s">
        <v>50</v>
      </c>
      <c r="B23" s="8" t="s">
        <v>36</v>
      </c>
      <c r="C23" s="9">
        <v>1928</v>
      </c>
      <c r="D23" s="10">
        <v>4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7" t="s">
        <v>51</v>
      </c>
      <c r="B24" s="8" t="s">
        <v>52</v>
      </c>
      <c r="C24" s="9">
        <v>1624</v>
      </c>
      <c r="D24" s="10">
        <v>4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7" t="s">
        <v>53</v>
      </c>
      <c r="B25" s="8" t="s">
        <v>52</v>
      </c>
      <c r="C25" s="9">
        <v>1104</v>
      </c>
      <c r="D25" s="10">
        <v>4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7" t="s">
        <v>54</v>
      </c>
      <c r="B26" s="8" t="s">
        <v>52</v>
      </c>
      <c r="C26" s="9">
        <v>2134</v>
      </c>
      <c r="D26" s="10">
        <v>4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7" t="s">
        <v>55</v>
      </c>
      <c r="B27" s="8" t="s">
        <v>52</v>
      </c>
      <c r="C27" s="9">
        <v>1802</v>
      </c>
      <c r="D27" s="10">
        <v>4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7"/>
      <c r="B28" s="8"/>
      <c r="C28" s="9"/>
      <c r="D28" s="10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7" t="s">
        <v>56</v>
      </c>
      <c r="B29" s="8" t="s">
        <v>57</v>
      </c>
      <c r="C29" s="9">
        <v>2226</v>
      </c>
      <c r="D29" s="10">
        <v>5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7" t="s">
        <v>58</v>
      </c>
      <c r="B30" s="8" t="s">
        <v>57</v>
      </c>
      <c r="C30" s="9">
        <v>2335</v>
      </c>
      <c r="D30" s="10">
        <v>5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7" t="s">
        <v>59</v>
      </c>
      <c r="B31" s="8" t="s">
        <v>57</v>
      </c>
      <c r="C31" s="9">
        <v>1675</v>
      </c>
      <c r="D31" s="10">
        <v>5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7" t="s">
        <v>60</v>
      </c>
      <c r="B32" s="8" t="s">
        <v>57</v>
      </c>
      <c r="C32" s="9">
        <v>1871</v>
      </c>
      <c r="D32" s="10">
        <v>5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7" t="s">
        <v>61</v>
      </c>
      <c r="B33" s="8" t="s">
        <v>57</v>
      </c>
      <c r="C33" s="9">
        <v>1915</v>
      </c>
      <c r="D33" s="10">
        <v>5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7" t="s">
        <v>62</v>
      </c>
      <c r="B34" s="8" t="s">
        <v>57</v>
      </c>
      <c r="C34" s="9">
        <v>1706</v>
      </c>
      <c r="D34" s="10">
        <v>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7"/>
      <c r="B35" s="8"/>
      <c r="C35" s="9"/>
      <c r="D35" s="10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7" t="s">
        <v>63</v>
      </c>
      <c r="B36" s="8" t="s">
        <v>52</v>
      </c>
      <c r="C36" s="9">
        <v>1116</v>
      </c>
      <c r="D36" s="10">
        <v>6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7" t="s">
        <v>64</v>
      </c>
      <c r="B37" s="8" t="s">
        <v>52</v>
      </c>
      <c r="C37" s="9">
        <v>2074</v>
      </c>
      <c r="D37" s="10">
        <v>6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7" t="s">
        <v>65</v>
      </c>
      <c r="B38" s="8" t="s">
        <v>66</v>
      </c>
      <c r="C38" s="9">
        <v>1459</v>
      </c>
      <c r="D38" s="10">
        <v>6</v>
      </c>
      <c r="E38" s="11" t="s">
        <v>67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7" t="s">
        <v>68</v>
      </c>
      <c r="B39" s="8" t="s">
        <v>66</v>
      </c>
      <c r="C39" s="9">
        <v>4314</v>
      </c>
      <c r="D39" s="10">
        <v>6</v>
      </c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7" t="s">
        <v>69</v>
      </c>
      <c r="B40" s="8" t="s">
        <v>66</v>
      </c>
      <c r="C40" s="9">
        <v>2230</v>
      </c>
      <c r="D40" s="10">
        <v>6</v>
      </c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7"/>
      <c r="B41" s="8"/>
      <c r="C41" s="9"/>
      <c r="D41" s="10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7" t="s">
        <v>65</v>
      </c>
      <c r="B42" s="8" t="s">
        <v>66</v>
      </c>
      <c r="C42" s="9">
        <v>1022</v>
      </c>
      <c r="D42" s="10">
        <v>7</v>
      </c>
      <c r="E42" s="11" t="s">
        <v>67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7" t="s">
        <v>70</v>
      </c>
      <c r="B43" s="8" t="s">
        <v>71</v>
      </c>
      <c r="C43" s="9">
        <v>1670</v>
      </c>
      <c r="D43" s="10">
        <v>7</v>
      </c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7" t="s">
        <v>72</v>
      </c>
      <c r="B44" s="8" t="s">
        <v>71</v>
      </c>
      <c r="C44" s="9">
        <v>1302</v>
      </c>
      <c r="D44" s="10">
        <v>7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7" t="s">
        <v>73</v>
      </c>
      <c r="B45" s="8" t="s">
        <v>71</v>
      </c>
      <c r="C45" s="9">
        <v>1837</v>
      </c>
      <c r="D45" s="10">
        <v>7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7" t="s">
        <v>74</v>
      </c>
      <c r="B46" s="8" t="s">
        <v>71</v>
      </c>
      <c r="C46" s="9">
        <v>2377</v>
      </c>
      <c r="D46" s="10">
        <v>7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7" t="s">
        <v>75</v>
      </c>
      <c r="B47" s="8" t="s">
        <v>71</v>
      </c>
      <c r="C47" s="9">
        <v>1297</v>
      </c>
      <c r="D47" s="10">
        <v>7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7" t="s">
        <v>76</v>
      </c>
      <c r="B48" s="8" t="s">
        <v>71</v>
      </c>
      <c r="C48" s="9">
        <v>1702</v>
      </c>
      <c r="D48" s="10">
        <v>7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7"/>
      <c r="B49" s="8"/>
      <c r="C49" s="9"/>
      <c r="D49" s="10"/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7" t="s">
        <v>77</v>
      </c>
      <c r="B50" s="8" t="s">
        <v>78</v>
      </c>
      <c r="C50" s="9">
        <v>1846</v>
      </c>
      <c r="D50" s="10">
        <v>8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7" t="s">
        <v>79</v>
      </c>
      <c r="B51" s="8" t="s">
        <v>78</v>
      </c>
      <c r="C51" s="9">
        <v>1851</v>
      </c>
      <c r="D51" s="10">
        <v>8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7" t="s">
        <v>80</v>
      </c>
      <c r="B52" s="8" t="s">
        <v>78</v>
      </c>
      <c r="C52" s="9">
        <v>1705</v>
      </c>
      <c r="D52" s="10">
        <v>8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7" t="s">
        <v>81</v>
      </c>
      <c r="B53" s="8" t="s">
        <v>78</v>
      </c>
      <c r="C53" s="9">
        <v>1927</v>
      </c>
      <c r="D53" s="10">
        <v>8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7" t="s">
        <v>82</v>
      </c>
      <c r="B54" s="8" t="s">
        <v>78</v>
      </c>
      <c r="C54" s="9">
        <v>1916</v>
      </c>
      <c r="D54" s="10">
        <v>8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7" t="s">
        <v>83</v>
      </c>
      <c r="B55" s="8" t="s">
        <v>78</v>
      </c>
      <c r="C55" s="9">
        <v>1664</v>
      </c>
      <c r="D55" s="10">
        <v>8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7" t="s">
        <v>84</v>
      </c>
      <c r="B56" s="8" t="s">
        <v>85</v>
      </c>
      <c r="C56" s="9">
        <v>1919</v>
      </c>
      <c r="D56" s="14">
        <v>8</v>
      </c>
      <c r="E56" s="11" t="s">
        <v>86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7"/>
      <c r="B57" s="8"/>
      <c r="C57" s="9"/>
      <c r="D57" s="10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7" t="s">
        <v>87</v>
      </c>
      <c r="B58" s="8" t="s">
        <v>30</v>
      </c>
      <c r="C58" s="9">
        <v>1866</v>
      </c>
      <c r="D58" s="10">
        <v>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7" t="s">
        <v>88</v>
      </c>
      <c r="B59" s="8" t="s">
        <v>30</v>
      </c>
      <c r="C59" s="9">
        <v>2048</v>
      </c>
      <c r="D59" s="10">
        <v>9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7" t="s">
        <v>89</v>
      </c>
      <c r="B60" s="8" t="s">
        <v>30</v>
      </c>
      <c r="C60" s="9">
        <v>2121</v>
      </c>
      <c r="D60" s="10">
        <v>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7" t="s">
        <v>90</v>
      </c>
      <c r="B61" s="8" t="s">
        <v>30</v>
      </c>
      <c r="C61" s="9">
        <v>1876</v>
      </c>
      <c r="D61" s="10">
        <v>9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7" t="s">
        <v>91</v>
      </c>
      <c r="B62" s="8" t="s">
        <v>30</v>
      </c>
      <c r="C62" s="9">
        <v>1393</v>
      </c>
      <c r="D62" s="10">
        <v>9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7" t="s">
        <v>92</v>
      </c>
      <c r="B63" s="8" t="s">
        <v>30</v>
      </c>
      <c r="C63" s="9">
        <v>1414</v>
      </c>
      <c r="D63" s="10">
        <v>9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7"/>
      <c r="B64" s="8"/>
      <c r="C64" s="9"/>
      <c r="D64" s="10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7" t="s">
        <v>93</v>
      </c>
      <c r="B65" s="8" t="s">
        <v>66</v>
      </c>
      <c r="C65" s="9">
        <v>3274</v>
      </c>
      <c r="D65" s="10">
        <v>10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7" t="s">
        <v>94</v>
      </c>
      <c r="B66" s="8" t="s">
        <v>66</v>
      </c>
      <c r="C66" s="9">
        <v>1858</v>
      </c>
      <c r="D66" s="10">
        <v>10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7" t="s">
        <v>95</v>
      </c>
      <c r="B67" s="8" t="s">
        <v>96</v>
      </c>
      <c r="C67" s="9">
        <v>1877</v>
      </c>
      <c r="D67" s="10">
        <v>10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7" t="s">
        <v>97</v>
      </c>
      <c r="B68" s="8" t="s">
        <v>96</v>
      </c>
      <c r="C68" s="9">
        <v>1551</v>
      </c>
      <c r="D68" s="10">
        <v>10</v>
      </c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7" t="s">
        <v>98</v>
      </c>
      <c r="B69" s="8" t="s">
        <v>99</v>
      </c>
      <c r="C69" s="9">
        <v>2354</v>
      </c>
      <c r="D69" s="10">
        <v>10</v>
      </c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7" t="s">
        <v>100</v>
      </c>
      <c r="B70" s="8" t="s">
        <v>99</v>
      </c>
      <c r="C70" s="9">
        <v>1124</v>
      </c>
      <c r="D70" s="10">
        <v>10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7"/>
      <c r="B71" s="8"/>
      <c r="C71" s="9"/>
      <c r="D71" s="10"/>
      <c r="E71" s="1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7" t="s">
        <v>101</v>
      </c>
      <c r="B72" s="8" t="s">
        <v>85</v>
      </c>
      <c r="C72" s="9">
        <v>2866</v>
      </c>
      <c r="D72" s="10">
        <v>11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7" t="s">
        <v>102</v>
      </c>
      <c r="B73" s="8" t="s">
        <v>85</v>
      </c>
      <c r="C73" s="9">
        <v>2013</v>
      </c>
      <c r="D73" s="10">
        <v>11</v>
      </c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7" t="s">
        <v>103</v>
      </c>
      <c r="B74" s="8" t="s">
        <v>85</v>
      </c>
      <c r="C74" s="9">
        <v>2446</v>
      </c>
      <c r="D74" s="10">
        <v>11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7" t="s">
        <v>104</v>
      </c>
      <c r="B75" s="8" t="s">
        <v>85</v>
      </c>
      <c r="C75" s="9">
        <v>1802</v>
      </c>
      <c r="D75" s="10">
        <v>11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7" t="s">
        <v>105</v>
      </c>
      <c r="B76" s="8" t="s">
        <v>66</v>
      </c>
      <c r="C76" s="9">
        <v>1674</v>
      </c>
      <c r="D76" s="10">
        <v>11</v>
      </c>
      <c r="E76" s="1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7" t="s">
        <v>84</v>
      </c>
      <c r="B77" s="8" t="s">
        <v>85</v>
      </c>
      <c r="C77" s="15">
        <v>20</v>
      </c>
      <c r="D77" s="14">
        <v>11</v>
      </c>
      <c r="E77" s="11" t="s">
        <v>86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7"/>
      <c r="B78" s="8"/>
      <c r="C78" s="9"/>
      <c r="D78" s="10"/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7" t="s">
        <v>106</v>
      </c>
      <c r="B79" s="8" t="s">
        <v>96</v>
      </c>
      <c r="C79" s="9">
        <v>1468</v>
      </c>
      <c r="D79" s="10">
        <v>12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7" t="s">
        <v>107</v>
      </c>
      <c r="B80" s="8" t="s">
        <v>96</v>
      </c>
      <c r="C80" s="9">
        <v>2069</v>
      </c>
      <c r="D80" s="10">
        <v>12</v>
      </c>
      <c r="E80" s="1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7" t="s">
        <v>108</v>
      </c>
      <c r="B81" s="8" t="s">
        <v>96</v>
      </c>
      <c r="C81" s="9">
        <v>1671</v>
      </c>
      <c r="D81" s="10">
        <v>12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7" t="s">
        <v>109</v>
      </c>
      <c r="B82" s="8" t="s">
        <v>96</v>
      </c>
      <c r="C82" s="9">
        <v>1935</v>
      </c>
      <c r="D82" s="10">
        <v>12</v>
      </c>
      <c r="E82" s="1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7" t="s">
        <v>110</v>
      </c>
      <c r="B83" s="8" t="s">
        <v>99</v>
      </c>
      <c r="C83" s="9">
        <v>1649</v>
      </c>
      <c r="D83" s="10">
        <v>12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7" t="s">
        <v>111</v>
      </c>
      <c r="B84" s="8" t="s">
        <v>99</v>
      </c>
      <c r="C84" s="9">
        <v>2283</v>
      </c>
      <c r="D84" s="10">
        <v>12</v>
      </c>
      <c r="E84" s="1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7"/>
      <c r="B85" s="8"/>
      <c r="C85" s="9"/>
      <c r="D85" s="10"/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7" t="s">
        <v>112</v>
      </c>
      <c r="B86" s="8" t="s">
        <v>37</v>
      </c>
      <c r="C86" s="9">
        <v>1652</v>
      </c>
      <c r="D86" s="10">
        <v>13</v>
      </c>
      <c r="E86" s="1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7" t="s">
        <v>113</v>
      </c>
      <c r="B87" s="8" t="s">
        <v>37</v>
      </c>
      <c r="C87" s="9">
        <v>1426</v>
      </c>
      <c r="D87" s="10">
        <v>13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7" t="s">
        <v>114</v>
      </c>
      <c r="B88" s="8" t="s">
        <v>37</v>
      </c>
      <c r="C88" s="9">
        <v>1945</v>
      </c>
      <c r="D88" s="10">
        <v>13</v>
      </c>
      <c r="E88" s="1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7" t="s">
        <v>115</v>
      </c>
      <c r="B89" s="8" t="s">
        <v>37</v>
      </c>
      <c r="C89" s="9">
        <v>2335</v>
      </c>
      <c r="D89" s="10">
        <v>13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7" t="s">
        <v>116</v>
      </c>
      <c r="B90" s="8" t="s">
        <v>37</v>
      </c>
      <c r="C90" s="9">
        <v>1244</v>
      </c>
      <c r="D90" s="10">
        <v>13</v>
      </c>
      <c r="E90" s="1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7" t="s">
        <v>117</v>
      </c>
      <c r="B91" s="8" t="s">
        <v>37</v>
      </c>
      <c r="C91" s="9">
        <v>1724</v>
      </c>
      <c r="D91" s="10">
        <v>13</v>
      </c>
      <c r="E91" s="1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7"/>
      <c r="B92" s="8"/>
      <c r="C92" s="9"/>
      <c r="D92" s="10"/>
      <c r="E92" s="11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7" t="s">
        <v>118</v>
      </c>
      <c r="B93" s="8" t="s">
        <v>119</v>
      </c>
      <c r="C93" s="9">
        <v>1226</v>
      </c>
      <c r="D93" s="10">
        <v>14</v>
      </c>
      <c r="E93" s="11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7" t="s">
        <v>120</v>
      </c>
      <c r="B94" s="8" t="s">
        <v>119</v>
      </c>
      <c r="C94" s="9">
        <v>1668</v>
      </c>
      <c r="D94" s="10">
        <v>14</v>
      </c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7" t="s">
        <v>121</v>
      </c>
      <c r="B95" s="8" t="s">
        <v>119</v>
      </c>
      <c r="C95" s="9">
        <v>2088</v>
      </c>
      <c r="D95" s="10">
        <v>14</v>
      </c>
      <c r="E95" s="1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7" t="s">
        <v>122</v>
      </c>
      <c r="B96" s="8" t="s">
        <v>119</v>
      </c>
      <c r="C96" s="9">
        <v>2595</v>
      </c>
      <c r="D96" s="10">
        <v>14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7" t="s">
        <v>123</v>
      </c>
      <c r="B97" s="8" t="s">
        <v>119</v>
      </c>
      <c r="C97" s="9">
        <v>1150</v>
      </c>
      <c r="D97" s="10">
        <v>14</v>
      </c>
      <c r="E97" s="1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7" t="s">
        <v>124</v>
      </c>
      <c r="B98" s="8" t="s">
        <v>99</v>
      </c>
      <c r="C98" s="9">
        <v>1308</v>
      </c>
      <c r="D98" s="10">
        <v>14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7" t="s">
        <v>125</v>
      </c>
      <c r="B99" s="8" t="s">
        <v>99</v>
      </c>
      <c r="C99" s="9">
        <v>1237</v>
      </c>
      <c r="D99" s="10">
        <v>14</v>
      </c>
      <c r="E99" s="1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7"/>
      <c r="B100" s="8"/>
      <c r="C100" s="9"/>
      <c r="D100" s="10"/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7" t="s">
        <v>126</v>
      </c>
      <c r="B101" s="8" t="s">
        <v>119</v>
      </c>
      <c r="C101" s="9">
        <v>1699</v>
      </c>
      <c r="D101" s="10">
        <v>15</v>
      </c>
      <c r="E101" s="1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7" t="s">
        <v>127</v>
      </c>
      <c r="B102" s="8" t="s">
        <v>128</v>
      </c>
      <c r="C102" s="9">
        <v>1979</v>
      </c>
      <c r="D102" s="10">
        <v>15</v>
      </c>
      <c r="E102" s="1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7" t="s">
        <v>129</v>
      </c>
      <c r="B103" s="8" t="s">
        <v>128</v>
      </c>
      <c r="C103" s="9">
        <v>2226</v>
      </c>
      <c r="D103" s="10">
        <v>15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7" t="s">
        <v>130</v>
      </c>
      <c r="B104" s="8" t="s">
        <v>128</v>
      </c>
      <c r="C104" s="9">
        <v>1528</v>
      </c>
      <c r="D104" s="10">
        <v>15</v>
      </c>
      <c r="E104" s="1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7" t="s">
        <v>131</v>
      </c>
      <c r="B105" s="8" t="s">
        <v>128</v>
      </c>
      <c r="C105" s="9">
        <v>1608</v>
      </c>
      <c r="D105" s="10">
        <v>15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7" t="s">
        <v>132</v>
      </c>
      <c r="B106" s="8" t="s">
        <v>128</v>
      </c>
      <c r="C106" s="9">
        <v>1249</v>
      </c>
      <c r="D106" s="10">
        <v>15</v>
      </c>
      <c r="E106" s="1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7" t="s">
        <v>133</v>
      </c>
      <c r="B107" s="8" t="s">
        <v>128</v>
      </c>
      <c r="C107" s="9">
        <v>1663</v>
      </c>
      <c r="D107" s="10">
        <v>15</v>
      </c>
      <c r="E107" s="1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7"/>
      <c r="B108" s="8"/>
      <c r="C108" s="9"/>
      <c r="D108" s="10"/>
      <c r="E108" s="11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7" t="s">
        <v>134</v>
      </c>
      <c r="B109" s="8" t="s">
        <v>135</v>
      </c>
      <c r="C109" s="9">
        <v>2313</v>
      </c>
      <c r="D109" s="10">
        <v>18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7" t="s">
        <v>136</v>
      </c>
      <c r="B110" s="8" t="s">
        <v>135</v>
      </c>
      <c r="C110" s="9">
        <v>1530</v>
      </c>
      <c r="D110" s="10">
        <v>18</v>
      </c>
      <c r="E110" s="11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7" t="s">
        <v>137</v>
      </c>
      <c r="B111" s="8" t="s">
        <v>135</v>
      </c>
      <c r="C111" s="9">
        <v>1950</v>
      </c>
      <c r="D111" s="10">
        <v>18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7" t="s">
        <v>138</v>
      </c>
      <c r="B112" s="8" t="s">
        <v>135</v>
      </c>
      <c r="C112" s="9">
        <v>1502</v>
      </c>
      <c r="D112" s="10">
        <v>18</v>
      </c>
      <c r="E112" s="1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7" t="s">
        <v>139</v>
      </c>
      <c r="B113" s="8" t="s">
        <v>135</v>
      </c>
      <c r="C113" s="9">
        <v>1825</v>
      </c>
      <c r="D113" s="10">
        <v>18</v>
      </c>
      <c r="E113" s="1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7" t="s">
        <v>140</v>
      </c>
      <c r="B114" s="8" t="s">
        <v>135</v>
      </c>
      <c r="C114" s="9">
        <v>607</v>
      </c>
      <c r="D114" s="10">
        <v>18</v>
      </c>
      <c r="E114" s="11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7" t="s">
        <v>141</v>
      </c>
      <c r="B115" s="8" t="s">
        <v>135</v>
      </c>
      <c r="C115" s="9">
        <v>1093</v>
      </c>
      <c r="D115" s="10">
        <v>18</v>
      </c>
      <c r="E115" s="1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7"/>
      <c r="B116" s="8"/>
      <c r="C116" s="9"/>
      <c r="D116" s="10"/>
      <c r="E116" s="1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7" t="s">
        <v>142</v>
      </c>
      <c r="B117" s="8" t="s">
        <v>143</v>
      </c>
      <c r="C117" s="9">
        <v>2103</v>
      </c>
      <c r="D117" s="10">
        <v>17</v>
      </c>
      <c r="E117" s="1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7" t="s">
        <v>144</v>
      </c>
      <c r="B118" s="8" t="s">
        <v>143</v>
      </c>
      <c r="C118" s="9">
        <v>2021</v>
      </c>
      <c r="D118" s="10">
        <v>17</v>
      </c>
      <c r="E118" s="1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7" t="s">
        <v>145</v>
      </c>
      <c r="B119" s="8" t="s">
        <v>143</v>
      </c>
      <c r="C119" s="9">
        <v>1590</v>
      </c>
      <c r="D119" s="10">
        <v>17</v>
      </c>
      <c r="E119" s="1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7" t="s">
        <v>146</v>
      </c>
      <c r="B120" s="8" t="s">
        <v>143</v>
      </c>
      <c r="C120" s="9">
        <v>1706</v>
      </c>
      <c r="D120" s="10">
        <v>17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7" t="s">
        <v>147</v>
      </c>
      <c r="B121" s="8" t="s">
        <v>143</v>
      </c>
      <c r="C121" s="9">
        <v>1638</v>
      </c>
      <c r="D121" s="10">
        <v>17</v>
      </c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7" t="s">
        <v>148</v>
      </c>
      <c r="B122" s="8" t="s">
        <v>143</v>
      </c>
      <c r="C122" s="9">
        <v>1937</v>
      </c>
      <c r="D122" s="10">
        <v>17</v>
      </c>
      <c r="E122" s="1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7"/>
      <c r="B123" s="8"/>
      <c r="C123" s="9"/>
      <c r="D123" s="10"/>
      <c r="E123" s="1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7" t="s">
        <v>149</v>
      </c>
      <c r="B124" s="8" t="s">
        <v>42</v>
      </c>
      <c r="C124" s="9">
        <v>1385</v>
      </c>
      <c r="D124" s="10">
        <v>16</v>
      </c>
      <c r="E124" s="1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7" t="s">
        <v>150</v>
      </c>
      <c r="B125" s="8" t="s">
        <v>42</v>
      </c>
      <c r="C125" s="9">
        <v>1647</v>
      </c>
      <c r="D125" s="10">
        <v>16</v>
      </c>
      <c r="E125" s="1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7" t="s">
        <v>151</v>
      </c>
      <c r="B126" s="8" t="s">
        <v>42</v>
      </c>
      <c r="C126" s="9">
        <v>1262</v>
      </c>
      <c r="D126" s="10">
        <v>16</v>
      </c>
      <c r="E126" s="1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7" t="s">
        <v>152</v>
      </c>
      <c r="B127" s="8" t="s">
        <v>42</v>
      </c>
      <c r="C127" s="9">
        <v>1466</v>
      </c>
      <c r="D127" s="10">
        <v>16</v>
      </c>
      <c r="E127" s="1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7" t="s">
        <v>153</v>
      </c>
      <c r="B128" s="8" t="s">
        <v>42</v>
      </c>
      <c r="C128" s="9">
        <v>1896</v>
      </c>
      <c r="D128" s="10">
        <v>16</v>
      </c>
      <c r="E128" s="1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7" t="s">
        <v>154</v>
      </c>
      <c r="B129" s="8" t="s">
        <v>42</v>
      </c>
      <c r="C129" s="9">
        <v>1736</v>
      </c>
      <c r="D129" s="10">
        <v>16</v>
      </c>
      <c r="E129" s="1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7" t="s">
        <v>155</v>
      </c>
      <c r="B130" s="8" t="s">
        <v>42</v>
      </c>
      <c r="C130" s="9">
        <v>1712</v>
      </c>
      <c r="D130" s="10">
        <v>16</v>
      </c>
      <c r="E130" s="1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7"/>
      <c r="B131" s="8"/>
      <c r="C131" s="9"/>
      <c r="D131" s="10"/>
      <c r="E131" s="1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7"/>
      <c r="B132" s="17"/>
      <c r="C132" s="17">
        <f>SUM(C2:C131)</f>
        <v>206691</v>
      </c>
      <c r="D132" s="18"/>
      <c r="E132" s="17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9"/>
      <c r="D133" s="20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9"/>
      <c r="D134" s="20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9"/>
      <c r="D135" s="20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9"/>
      <c r="D136" s="20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9"/>
      <c r="D137" s="20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9"/>
      <c r="D138" s="20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9"/>
      <c r="D139" s="20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9"/>
      <c r="D140" s="20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9"/>
      <c r="D141" s="20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9"/>
      <c r="D142" s="20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9"/>
      <c r="D143" s="20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9"/>
      <c r="D144" s="20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9"/>
      <c r="D145" s="20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9"/>
      <c r="D146" s="20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9"/>
      <c r="D147" s="20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9"/>
      <c r="D148" s="20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9"/>
      <c r="D149" s="20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9"/>
      <c r="D150" s="20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9"/>
      <c r="D151" s="20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9"/>
      <c r="D152" s="20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9"/>
      <c r="D153" s="20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9"/>
      <c r="D154" s="20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9"/>
      <c r="D155" s="20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9"/>
      <c r="D156" s="20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9"/>
      <c r="D157" s="20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9"/>
      <c r="D158" s="20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9"/>
      <c r="D159" s="20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9"/>
      <c r="D160" s="20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9"/>
      <c r="D161" s="20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9"/>
      <c r="D162" s="20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9"/>
      <c r="D163" s="20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9"/>
      <c r="D164" s="20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9"/>
      <c r="D165" s="20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9"/>
      <c r="D166" s="20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9"/>
      <c r="D167" s="20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9"/>
      <c r="D168" s="20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9"/>
      <c r="D169" s="20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9"/>
      <c r="D170" s="20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9"/>
      <c r="D171" s="20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9"/>
      <c r="D172" s="20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9"/>
      <c r="D173" s="20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9"/>
      <c r="D174" s="20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9"/>
      <c r="D175" s="20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9"/>
      <c r="D176" s="20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9"/>
      <c r="D177" s="20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9"/>
      <c r="D178" s="20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9"/>
      <c r="D179" s="20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9"/>
      <c r="D180" s="20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9"/>
      <c r="D181" s="20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9"/>
      <c r="D182" s="20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9"/>
      <c r="D183" s="20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9"/>
      <c r="D184" s="20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9"/>
      <c r="D185" s="20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9"/>
      <c r="D186" s="20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9"/>
      <c r="D187" s="20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9"/>
      <c r="D188" s="20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9"/>
      <c r="D189" s="20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9"/>
      <c r="D190" s="20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9"/>
      <c r="D191" s="20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9"/>
      <c r="D192" s="20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9"/>
      <c r="D193" s="20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9"/>
      <c r="D194" s="20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9"/>
      <c r="D195" s="20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9"/>
      <c r="D196" s="20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9"/>
      <c r="D197" s="20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9"/>
      <c r="D198" s="20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9"/>
      <c r="D199" s="20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9"/>
      <c r="D200" s="20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9"/>
      <c r="D201" s="20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9"/>
      <c r="D202" s="20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9"/>
      <c r="D203" s="20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9"/>
      <c r="D204" s="20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9"/>
      <c r="D205" s="20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9"/>
      <c r="D206" s="20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9"/>
      <c r="D207" s="20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9"/>
      <c r="D208" s="20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9"/>
      <c r="D209" s="20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9"/>
      <c r="D210" s="20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9"/>
      <c r="D211" s="20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9"/>
      <c r="D212" s="20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9"/>
      <c r="D213" s="20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9"/>
      <c r="D214" s="20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9"/>
      <c r="D215" s="20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9"/>
      <c r="D216" s="20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9"/>
      <c r="D217" s="20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9"/>
      <c r="D218" s="20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9"/>
      <c r="D219" s="20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9"/>
      <c r="D220" s="20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9"/>
      <c r="D221" s="20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9"/>
      <c r="D222" s="20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9"/>
      <c r="D223" s="20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9"/>
      <c r="D224" s="20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9"/>
      <c r="D225" s="20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9"/>
      <c r="D226" s="20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9"/>
      <c r="D227" s="20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9"/>
      <c r="D228" s="20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9"/>
      <c r="D229" s="20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9"/>
      <c r="D230" s="20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9"/>
      <c r="D231" s="20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9"/>
      <c r="D232" s="20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9"/>
      <c r="D233" s="20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9"/>
      <c r="D234" s="20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9"/>
      <c r="D235" s="20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9"/>
      <c r="D236" s="20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9"/>
      <c r="D237" s="20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9"/>
      <c r="D238" s="20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9"/>
      <c r="D239" s="20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9"/>
      <c r="D240" s="20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9"/>
      <c r="D241" s="20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9"/>
      <c r="D242" s="20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9"/>
      <c r="D243" s="20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9"/>
      <c r="D244" s="20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9"/>
      <c r="D245" s="20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9"/>
      <c r="D246" s="20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9"/>
      <c r="D247" s="20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9"/>
      <c r="D248" s="20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9"/>
      <c r="D249" s="20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9"/>
      <c r="D250" s="20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9"/>
      <c r="D251" s="20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9"/>
      <c r="D252" s="20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9"/>
      <c r="D253" s="20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9"/>
      <c r="D254" s="20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9"/>
      <c r="D255" s="20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9"/>
      <c r="D256" s="20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9"/>
      <c r="D257" s="20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9"/>
      <c r="D258" s="20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9"/>
      <c r="D259" s="20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9"/>
      <c r="D260" s="20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9"/>
      <c r="D261" s="20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9"/>
      <c r="D262" s="20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9"/>
      <c r="D263" s="20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9"/>
      <c r="D264" s="20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9"/>
      <c r="D265" s="20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9"/>
      <c r="D266" s="20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9"/>
      <c r="D267" s="20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9"/>
      <c r="D268" s="20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9"/>
      <c r="D269" s="20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9"/>
      <c r="D270" s="20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9"/>
      <c r="D271" s="20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9"/>
      <c r="D272" s="20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9"/>
      <c r="D273" s="20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9"/>
      <c r="D274" s="20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9"/>
      <c r="D275" s="20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9"/>
      <c r="D276" s="20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9"/>
      <c r="D277" s="20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9"/>
      <c r="D278" s="20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9"/>
      <c r="D279" s="20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9"/>
      <c r="D280" s="20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9"/>
      <c r="D281" s="20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9"/>
      <c r="D282" s="20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9"/>
      <c r="D283" s="20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9"/>
      <c r="D284" s="20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9"/>
      <c r="D285" s="20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9"/>
      <c r="D286" s="20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9"/>
      <c r="D287" s="20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9"/>
      <c r="D288" s="20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9"/>
      <c r="D289" s="20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9"/>
      <c r="D290" s="20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9"/>
      <c r="D291" s="20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9"/>
      <c r="D292" s="20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9"/>
      <c r="D293" s="20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9"/>
      <c r="D294" s="20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9"/>
      <c r="D295" s="20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9"/>
      <c r="D296" s="20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9"/>
      <c r="D297" s="20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9"/>
      <c r="D298" s="20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9"/>
      <c r="D299" s="20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9"/>
      <c r="D300" s="20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9"/>
      <c r="D301" s="20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9"/>
      <c r="D302" s="20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9"/>
      <c r="D303" s="20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9"/>
      <c r="D304" s="20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9"/>
      <c r="D305" s="20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9"/>
      <c r="D306" s="20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9"/>
      <c r="D307" s="20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9"/>
      <c r="D308" s="20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9"/>
      <c r="D309" s="20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9"/>
      <c r="D310" s="20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9"/>
      <c r="D311" s="20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9"/>
      <c r="D312" s="20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9"/>
      <c r="D313" s="20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9"/>
      <c r="D314" s="20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9"/>
      <c r="D315" s="20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9"/>
      <c r="D316" s="20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9"/>
      <c r="D317" s="20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9"/>
      <c r="D318" s="20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9"/>
      <c r="D319" s="20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9"/>
      <c r="D320" s="20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9"/>
      <c r="D321" s="20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9"/>
      <c r="D322" s="20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9"/>
      <c r="D323" s="20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9"/>
      <c r="D324" s="20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9"/>
      <c r="D325" s="20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9"/>
      <c r="D326" s="20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9"/>
      <c r="D327" s="20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9"/>
      <c r="D328" s="20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9"/>
      <c r="D329" s="20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9"/>
      <c r="D330" s="20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9"/>
      <c r="D331" s="20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9"/>
      <c r="D332" s="20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9"/>
      <c r="D333" s="20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9"/>
      <c r="D334" s="20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9"/>
      <c r="D335" s="20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9"/>
      <c r="D336" s="20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9"/>
      <c r="D337" s="20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9"/>
      <c r="D338" s="20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9"/>
      <c r="D339" s="20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9"/>
      <c r="D340" s="20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9"/>
      <c r="D341" s="20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9"/>
      <c r="D342" s="20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9"/>
      <c r="D343" s="20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9"/>
      <c r="D344" s="20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9"/>
      <c r="D345" s="20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9"/>
      <c r="D346" s="20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9"/>
      <c r="D347" s="20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9"/>
      <c r="D348" s="20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9"/>
      <c r="D349" s="20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9"/>
      <c r="D350" s="20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9"/>
      <c r="D351" s="20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9"/>
      <c r="D352" s="20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9"/>
      <c r="D353" s="20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9"/>
      <c r="D354" s="20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9"/>
      <c r="D355" s="20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9"/>
      <c r="D356" s="20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9"/>
      <c r="D357" s="20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9"/>
      <c r="D358" s="20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9"/>
      <c r="D359" s="20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9"/>
      <c r="D360" s="20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9"/>
      <c r="D361" s="20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9"/>
      <c r="D362" s="20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9"/>
      <c r="D363" s="20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9"/>
      <c r="D364" s="20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9"/>
      <c r="D365" s="20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9"/>
      <c r="D366" s="20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9"/>
      <c r="D367" s="20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9"/>
      <c r="D368" s="20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9"/>
      <c r="D369" s="20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9"/>
      <c r="D370" s="20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9"/>
      <c r="D371" s="20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9"/>
      <c r="D372" s="20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9"/>
      <c r="D373" s="20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9"/>
      <c r="D374" s="20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9"/>
      <c r="D375" s="20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9"/>
      <c r="D376" s="20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9"/>
      <c r="D377" s="20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9"/>
      <c r="D378" s="20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9"/>
      <c r="D379" s="20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9"/>
      <c r="D380" s="20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9"/>
      <c r="D381" s="20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9"/>
      <c r="D382" s="20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9"/>
      <c r="D383" s="20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9"/>
      <c r="D384" s="20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9"/>
      <c r="D385" s="20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9"/>
      <c r="D386" s="20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9"/>
      <c r="D387" s="20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9"/>
      <c r="D388" s="20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9"/>
      <c r="D389" s="20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9"/>
      <c r="D390" s="20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9"/>
      <c r="D391" s="20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9"/>
      <c r="D392" s="20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9"/>
      <c r="D393" s="20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9"/>
      <c r="D394" s="20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9"/>
      <c r="D395" s="20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9"/>
      <c r="D396" s="20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9"/>
      <c r="D397" s="20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9"/>
      <c r="D398" s="20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9"/>
      <c r="D399" s="20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9"/>
      <c r="D400" s="20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9"/>
      <c r="D401" s="20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9"/>
      <c r="D402" s="2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9"/>
      <c r="D403" s="2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9"/>
      <c r="D404" s="2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9"/>
      <c r="D405" s="2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9"/>
      <c r="D406" s="20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9"/>
      <c r="D407" s="20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9"/>
      <c r="D408" s="20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9"/>
      <c r="D409" s="2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9"/>
      <c r="D410" s="2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9"/>
      <c r="D411" s="2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9"/>
      <c r="D412" s="2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9"/>
      <c r="D413" s="2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9"/>
      <c r="D414" s="2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9"/>
      <c r="D415" s="2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9"/>
      <c r="D416" s="2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9"/>
      <c r="D417" s="2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9"/>
      <c r="D418" s="2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9"/>
      <c r="D419" s="2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9"/>
      <c r="D420" s="2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9"/>
      <c r="D421" s="2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9"/>
      <c r="D422" s="2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9"/>
      <c r="D423" s="20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9"/>
      <c r="D424" s="20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9"/>
      <c r="D425" s="20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9"/>
      <c r="D426" s="20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9"/>
      <c r="D427" s="20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9"/>
      <c r="D428" s="20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9"/>
      <c r="D429" s="20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9"/>
      <c r="D430" s="20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9"/>
      <c r="D431" s="20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9"/>
      <c r="D432" s="20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9"/>
      <c r="D433" s="20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9"/>
      <c r="D434" s="20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9"/>
      <c r="D435" s="20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9"/>
      <c r="D436" s="20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9"/>
      <c r="D437" s="20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9"/>
      <c r="D438" s="20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9"/>
      <c r="D439" s="20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9"/>
      <c r="D440" s="20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9"/>
      <c r="D441" s="20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9"/>
      <c r="D442" s="20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9"/>
      <c r="D443" s="20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9"/>
      <c r="D444" s="20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9"/>
      <c r="D445" s="20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9"/>
      <c r="D446" s="20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9"/>
      <c r="D447" s="20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9"/>
      <c r="D448" s="20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9"/>
      <c r="D449" s="20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9"/>
      <c r="D450" s="20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9"/>
      <c r="D451" s="20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9"/>
      <c r="D452" s="20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9"/>
      <c r="D453" s="20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9"/>
      <c r="D454" s="20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9"/>
      <c r="D455" s="20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9"/>
      <c r="D456" s="20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9"/>
      <c r="D457" s="20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9"/>
      <c r="D458" s="20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9"/>
      <c r="D459" s="20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9"/>
      <c r="D460" s="20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9"/>
      <c r="D461" s="20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9"/>
      <c r="D462" s="20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9"/>
      <c r="D463" s="20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9"/>
      <c r="D464" s="20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9"/>
      <c r="D465" s="20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9"/>
      <c r="D466" s="20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9"/>
      <c r="D467" s="20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9"/>
      <c r="D468" s="20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9"/>
      <c r="D469" s="20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9"/>
      <c r="D470" s="20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9"/>
      <c r="D471" s="20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9"/>
      <c r="D472" s="20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9"/>
      <c r="D473" s="20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9"/>
      <c r="D474" s="20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9"/>
      <c r="D475" s="20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9"/>
      <c r="D476" s="20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9"/>
      <c r="D477" s="20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9"/>
      <c r="D478" s="20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9"/>
      <c r="D479" s="20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9"/>
      <c r="D480" s="20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9"/>
      <c r="D481" s="20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9"/>
      <c r="D482" s="20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9"/>
      <c r="D483" s="20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9"/>
      <c r="D484" s="20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9"/>
      <c r="D485" s="20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9"/>
      <c r="D486" s="20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9"/>
      <c r="D487" s="20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9"/>
      <c r="D488" s="20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9"/>
      <c r="D489" s="20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9"/>
      <c r="D490" s="20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9"/>
      <c r="D491" s="20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9"/>
      <c r="D492" s="20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9"/>
      <c r="D493" s="20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9"/>
      <c r="D494" s="20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9"/>
      <c r="D495" s="2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9"/>
      <c r="D496" s="20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9"/>
      <c r="D497" s="20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9"/>
      <c r="D498" s="20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9"/>
      <c r="D499" s="20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9"/>
      <c r="D500" s="20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9"/>
      <c r="D501" s="20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9"/>
      <c r="D502" s="20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9"/>
      <c r="D503" s="20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9"/>
      <c r="D504" s="20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9"/>
      <c r="D505" s="20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9"/>
      <c r="D506" s="20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9"/>
      <c r="D507" s="20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9"/>
      <c r="D508" s="20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9"/>
      <c r="D509" s="20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9"/>
      <c r="D510" s="20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9"/>
      <c r="D511" s="20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9"/>
      <c r="D512" s="20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9"/>
      <c r="D513" s="20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9"/>
      <c r="D514" s="20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9"/>
      <c r="D515" s="20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9"/>
      <c r="D516" s="20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9"/>
      <c r="D517" s="20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9"/>
      <c r="D518" s="20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9"/>
      <c r="D519" s="20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9"/>
      <c r="D520" s="20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9"/>
      <c r="D521" s="20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9"/>
      <c r="D522" s="20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9"/>
      <c r="D523" s="20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9"/>
      <c r="D524" s="20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9"/>
      <c r="D525" s="20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9"/>
      <c r="D526" s="20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9"/>
      <c r="D527" s="20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9"/>
      <c r="D528" s="20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9"/>
      <c r="D529" s="20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9"/>
      <c r="D530" s="20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9"/>
      <c r="D531" s="20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9"/>
      <c r="D532" s="20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9"/>
      <c r="D533" s="20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9"/>
      <c r="D534" s="20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9"/>
      <c r="D535" s="20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9"/>
      <c r="D536" s="20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9"/>
      <c r="D537" s="20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9"/>
      <c r="D538" s="20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9"/>
      <c r="D539" s="20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9"/>
      <c r="D540" s="20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9"/>
      <c r="D541" s="20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9"/>
      <c r="D542" s="20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9"/>
      <c r="D543" s="20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9"/>
      <c r="D544" s="20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9"/>
      <c r="D545" s="20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9"/>
      <c r="D546" s="20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9"/>
      <c r="D547" s="20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9"/>
      <c r="D548" s="20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9"/>
      <c r="D549" s="20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9"/>
      <c r="D550" s="20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9"/>
      <c r="D551" s="20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9"/>
      <c r="D552" s="20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9"/>
      <c r="D553" s="20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9"/>
      <c r="D554" s="20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9"/>
      <c r="D555" s="20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9"/>
      <c r="D556" s="20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9"/>
      <c r="D557" s="20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9"/>
      <c r="D558" s="20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9"/>
      <c r="D559" s="20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9"/>
      <c r="D560" s="20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9"/>
      <c r="D561" s="20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9"/>
      <c r="D562" s="20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9"/>
      <c r="D563" s="20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9"/>
      <c r="D564" s="20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9"/>
      <c r="D565" s="2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9"/>
      <c r="D566" s="20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9"/>
      <c r="D567" s="20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9"/>
      <c r="D568" s="20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9"/>
      <c r="D569" s="20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9"/>
      <c r="D570" s="20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9"/>
      <c r="D571" s="20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9"/>
      <c r="D572" s="20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9"/>
      <c r="D573" s="20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9"/>
      <c r="D574" s="20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9"/>
      <c r="D575" s="20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9"/>
      <c r="D576" s="20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9"/>
      <c r="D577" s="20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9"/>
      <c r="D578" s="20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9"/>
      <c r="D579" s="20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9"/>
      <c r="D580" s="20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9"/>
      <c r="D581" s="20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9"/>
      <c r="D582" s="20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9"/>
      <c r="D583" s="20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9"/>
      <c r="D584" s="20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9"/>
      <c r="D585" s="20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9"/>
      <c r="D586" s="20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9"/>
      <c r="D587" s="20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9"/>
      <c r="D588" s="20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9"/>
      <c r="D589" s="20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9"/>
      <c r="D590" s="20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9"/>
      <c r="D591" s="20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9"/>
      <c r="D592" s="20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9"/>
      <c r="D593" s="20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9"/>
      <c r="D594" s="20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9"/>
      <c r="D595" s="20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9"/>
      <c r="D596" s="20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9"/>
      <c r="D597" s="20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9"/>
      <c r="D598" s="20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9"/>
      <c r="D599" s="20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9"/>
      <c r="D600" s="20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9"/>
      <c r="D601" s="20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9"/>
      <c r="D602" s="20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9"/>
      <c r="D603" s="20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9"/>
      <c r="D604" s="20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9"/>
      <c r="D605" s="20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9"/>
      <c r="D606" s="20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9"/>
      <c r="D607" s="20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9"/>
      <c r="D608" s="20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9"/>
      <c r="D609" s="20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9"/>
      <c r="D610" s="20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9"/>
      <c r="D611" s="20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9"/>
      <c r="D612" s="20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9"/>
      <c r="D613" s="20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9"/>
      <c r="D614" s="20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9"/>
      <c r="D615" s="20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9"/>
      <c r="D616" s="20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9"/>
      <c r="D617" s="20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9"/>
      <c r="D618" s="20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9"/>
      <c r="D619" s="20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9"/>
      <c r="D620" s="20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9"/>
      <c r="D621" s="20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9"/>
      <c r="D622" s="20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9"/>
      <c r="D623" s="20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9"/>
      <c r="D624" s="20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9"/>
      <c r="D625" s="20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9"/>
      <c r="D626" s="20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9"/>
      <c r="D627" s="20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9"/>
      <c r="D628" s="20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9"/>
      <c r="D629" s="20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9"/>
      <c r="D630" s="20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9"/>
      <c r="D631" s="20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9"/>
      <c r="D632" s="20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9"/>
      <c r="D633" s="20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9"/>
      <c r="D634" s="20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9"/>
      <c r="D635" s="20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9"/>
      <c r="D636" s="20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9"/>
      <c r="D637" s="20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9"/>
      <c r="D638" s="20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9"/>
      <c r="D639" s="20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9"/>
      <c r="D640" s="20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9"/>
      <c r="D641" s="20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9"/>
      <c r="D642" s="20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9"/>
      <c r="D643" s="20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9"/>
      <c r="D644" s="20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9"/>
      <c r="D645" s="20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9"/>
      <c r="D646" s="20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9"/>
      <c r="D647" s="20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9"/>
      <c r="D648" s="20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9"/>
      <c r="D649" s="20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9"/>
      <c r="D650" s="20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9"/>
      <c r="D651" s="20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9"/>
      <c r="D652" s="20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9"/>
      <c r="D653" s="20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9"/>
      <c r="D654" s="20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9"/>
      <c r="D655" s="20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9"/>
      <c r="D656" s="20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9"/>
      <c r="D657" s="20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9"/>
      <c r="D658" s="20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9"/>
      <c r="D659" s="20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9"/>
      <c r="D660" s="20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9"/>
      <c r="D661" s="20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9"/>
      <c r="D662" s="20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9"/>
      <c r="D663" s="20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9"/>
      <c r="D664" s="20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9"/>
      <c r="D665" s="2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9"/>
      <c r="D666" s="20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9"/>
      <c r="D667" s="20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9"/>
      <c r="D668" s="20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9"/>
      <c r="D669" s="20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9"/>
      <c r="D670" s="20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9"/>
      <c r="D671" s="20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9"/>
      <c r="D672" s="20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9"/>
      <c r="D673" s="20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9"/>
      <c r="D674" s="20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9"/>
      <c r="D675" s="20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9"/>
      <c r="D676" s="20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9"/>
      <c r="D677" s="20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9"/>
      <c r="D678" s="20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9"/>
      <c r="D679" s="20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9"/>
      <c r="D680" s="20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9"/>
      <c r="D681" s="20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9"/>
      <c r="D682" s="20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9"/>
      <c r="D683" s="20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9"/>
      <c r="D684" s="20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9"/>
      <c r="D685" s="20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9"/>
      <c r="D686" s="20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9"/>
      <c r="D687" s="20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9"/>
      <c r="D688" s="20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9"/>
      <c r="D689" s="20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9"/>
      <c r="D690" s="20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9"/>
      <c r="D691" s="20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9"/>
      <c r="D692" s="20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9"/>
      <c r="D693" s="20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9"/>
      <c r="D694" s="20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9"/>
      <c r="D695" s="20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9"/>
      <c r="D696" s="20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9"/>
      <c r="D697" s="20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9"/>
      <c r="D698" s="20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9"/>
      <c r="D699" s="20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9"/>
      <c r="D700" s="20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9"/>
      <c r="D701" s="20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9"/>
      <c r="D702" s="20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9"/>
      <c r="D703" s="20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9"/>
      <c r="D704" s="20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9"/>
      <c r="D705" s="20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9"/>
      <c r="D706" s="20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9"/>
      <c r="D707" s="20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9"/>
      <c r="D708" s="20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9"/>
      <c r="D709" s="20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9"/>
      <c r="D710" s="20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9"/>
      <c r="D711" s="20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9"/>
      <c r="D712" s="20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9"/>
      <c r="D713" s="20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9"/>
      <c r="D714" s="20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9"/>
      <c r="D715" s="20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9"/>
      <c r="D716" s="20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9"/>
      <c r="D717" s="20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9"/>
      <c r="D718" s="20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9"/>
      <c r="D719" s="20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9"/>
      <c r="D720" s="20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9"/>
      <c r="D721" s="20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9"/>
      <c r="D722" s="20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9"/>
      <c r="D723" s="20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9"/>
      <c r="D724" s="20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9"/>
      <c r="D725" s="20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9"/>
      <c r="D726" s="20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9"/>
      <c r="D727" s="20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9"/>
      <c r="D728" s="20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9"/>
      <c r="D729" s="20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9"/>
      <c r="D730" s="20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9"/>
      <c r="D731" s="20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9"/>
      <c r="D732" s="20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9"/>
      <c r="D733" s="20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9"/>
      <c r="D734" s="20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9"/>
      <c r="D735" s="20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9"/>
      <c r="D736" s="20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9"/>
      <c r="D737" s="20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9"/>
      <c r="D738" s="20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9"/>
      <c r="D739" s="20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9"/>
      <c r="D740" s="20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9"/>
      <c r="D741" s="20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9"/>
      <c r="D742" s="20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9"/>
      <c r="D743" s="20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9"/>
      <c r="D744" s="20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9"/>
      <c r="D745" s="20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9"/>
      <c r="D746" s="20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9"/>
      <c r="D747" s="20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9"/>
      <c r="D748" s="20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9"/>
      <c r="D749" s="20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9"/>
      <c r="D750" s="20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9"/>
      <c r="D751" s="20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9"/>
      <c r="D752" s="20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9"/>
      <c r="D753" s="20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9"/>
      <c r="D754" s="20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9"/>
      <c r="D755" s="20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9"/>
      <c r="D756" s="20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9"/>
      <c r="D757" s="20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9"/>
      <c r="D758" s="20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9"/>
      <c r="D759" s="20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9"/>
      <c r="D760" s="20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9"/>
      <c r="D761" s="20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9"/>
      <c r="D762" s="20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9"/>
      <c r="D763" s="20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9"/>
      <c r="D764" s="20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9"/>
      <c r="D765" s="20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9"/>
      <c r="D766" s="20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9"/>
      <c r="D767" s="20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9"/>
      <c r="D768" s="20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9"/>
      <c r="D769" s="20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9"/>
      <c r="D770" s="20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9"/>
      <c r="D771" s="20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9"/>
      <c r="D772" s="20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9"/>
      <c r="D773" s="20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9"/>
      <c r="D774" s="20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9"/>
      <c r="D775" s="20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9"/>
      <c r="D776" s="20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9"/>
      <c r="D777" s="20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9"/>
      <c r="D778" s="20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9"/>
      <c r="D779" s="20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9"/>
      <c r="D780" s="20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9"/>
      <c r="D781" s="20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9"/>
      <c r="D782" s="20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9"/>
      <c r="D783" s="20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9"/>
      <c r="D784" s="20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9"/>
      <c r="D785" s="20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9"/>
      <c r="D786" s="20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9"/>
      <c r="D787" s="20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9"/>
      <c r="D788" s="20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9"/>
      <c r="D789" s="20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9"/>
      <c r="D790" s="20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9"/>
      <c r="D791" s="20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9"/>
      <c r="D792" s="20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9"/>
      <c r="D793" s="20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9"/>
      <c r="D794" s="20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9"/>
      <c r="D795" s="20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9"/>
      <c r="D796" s="20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9"/>
      <c r="D797" s="20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9"/>
      <c r="D798" s="20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9"/>
      <c r="D799" s="20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9"/>
      <c r="D800" s="20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9"/>
      <c r="D801" s="20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9"/>
      <c r="D802" s="20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9"/>
      <c r="D803" s="20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9"/>
      <c r="D804" s="20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9"/>
      <c r="D805" s="20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9"/>
      <c r="D806" s="20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9"/>
      <c r="D807" s="20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9"/>
      <c r="D808" s="20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9"/>
      <c r="D809" s="20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9"/>
      <c r="D810" s="20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9"/>
      <c r="D811" s="20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9"/>
      <c r="D812" s="20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9"/>
      <c r="D813" s="20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9"/>
      <c r="D814" s="20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9"/>
      <c r="D815" s="20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9"/>
      <c r="D816" s="20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9"/>
      <c r="D817" s="20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9"/>
      <c r="D818" s="20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9"/>
      <c r="D819" s="20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9"/>
      <c r="D820" s="20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9"/>
      <c r="D821" s="20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9"/>
      <c r="D822" s="20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9"/>
      <c r="D823" s="20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9"/>
      <c r="D824" s="20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9"/>
      <c r="D825" s="20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9"/>
      <c r="D826" s="20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9"/>
      <c r="D827" s="20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9"/>
      <c r="D828" s="20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9"/>
      <c r="D829" s="20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9"/>
      <c r="D830" s="20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9"/>
      <c r="D831" s="20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9"/>
      <c r="D832" s="20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9"/>
      <c r="D833" s="20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9"/>
      <c r="D834" s="20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9"/>
      <c r="D835" s="20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9"/>
      <c r="D836" s="20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9"/>
      <c r="D837" s="20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9"/>
      <c r="D838" s="20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9"/>
      <c r="D839" s="20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9"/>
      <c r="D840" s="20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9"/>
      <c r="D841" s="20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9"/>
      <c r="D842" s="20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9"/>
      <c r="D843" s="20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9"/>
      <c r="D844" s="20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9"/>
      <c r="D845" s="20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9"/>
      <c r="D846" s="20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9"/>
      <c r="D847" s="20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9"/>
      <c r="D848" s="20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9"/>
      <c r="D849" s="20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9"/>
      <c r="D850" s="20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9"/>
      <c r="D851" s="20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9"/>
      <c r="D852" s="20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9"/>
      <c r="D853" s="20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9"/>
      <c r="D854" s="20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9"/>
      <c r="D855" s="20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9"/>
      <c r="D856" s="20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9"/>
      <c r="D857" s="20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9"/>
      <c r="D858" s="20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9"/>
      <c r="D859" s="20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9"/>
      <c r="D860" s="20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9"/>
      <c r="D861" s="20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9"/>
      <c r="D862" s="20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9"/>
      <c r="D863" s="20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9"/>
      <c r="D864" s="20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9"/>
      <c r="D865" s="20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9"/>
      <c r="D866" s="20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9"/>
      <c r="D867" s="20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9"/>
      <c r="D868" s="20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9"/>
      <c r="D869" s="20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9"/>
      <c r="D870" s="20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9"/>
      <c r="D871" s="20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9"/>
      <c r="D872" s="20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9"/>
      <c r="D873" s="20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9"/>
      <c r="D874" s="20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9"/>
      <c r="D875" s="20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9"/>
      <c r="D876" s="20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9"/>
      <c r="D877" s="20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9"/>
      <c r="D878" s="20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9"/>
      <c r="D879" s="20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9"/>
      <c r="D880" s="20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9"/>
      <c r="D881" s="20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9"/>
      <c r="D882" s="20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9"/>
      <c r="D883" s="20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9"/>
      <c r="D884" s="20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9"/>
      <c r="D885" s="20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9"/>
      <c r="D886" s="20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9"/>
      <c r="D887" s="20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9"/>
      <c r="D888" s="20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9"/>
      <c r="D889" s="20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9"/>
      <c r="D890" s="20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9"/>
      <c r="D891" s="20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9"/>
      <c r="D892" s="20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9"/>
      <c r="D893" s="20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9"/>
      <c r="D894" s="20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9"/>
      <c r="D895" s="20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9"/>
      <c r="D896" s="20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9"/>
      <c r="D897" s="20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9"/>
      <c r="D898" s="20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9"/>
      <c r="D899" s="20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9"/>
      <c r="D900" s="20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9"/>
      <c r="D901" s="20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9"/>
      <c r="D902" s="20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9"/>
      <c r="D903" s="20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9"/>
      <c r="D904" s="20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9"/>
      <c r="D905" s="20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9"/>
      <c r="D906" s="20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9"/>
      <c r="D907" s="20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9"/>
      <c r="D908" s="20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9"/>
      <c r="D909" s="20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9"/>
      <c r="D910" s="20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9"/>
      <c r="D911" s="20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9"/>
      <c r="D912" s="20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9"/>
      <c r="D913" s="20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9"/>
      <c r="D914" s="20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9"/>
      <c r="D915" s="20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9"/>
      <c r="D916" s="20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9"/>
      <c r="D917" s="20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9"/>
      <c r="D918" s="20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9"/>
      <c r="D919" s="20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9"/>
      <c r="D920" s="20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9"/>
      <c r="D921" s="20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9"/>
      <c r="D922" s="20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9"/>
      <c r="D923" s="20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9"/>
      <c r="D924" s="20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9"/>
      <c r="D925" s="20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9"/>
      <c r="D926" s="20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9"/>
      <c r="D927" s="20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9"/>
      <c r="D928" s="20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9"/>
      <c r="D929" s="20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9"/>
      <c r="D930" s="20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9"/>
      <c r="D931" s="20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9"/>
      <c r="D932" s="20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9"/>
      <c r="D933" s="20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9"/>
      <c r="D934" s="20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9"/>
      <c r="D935" s="20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9"/>
      <c r="D936" s="20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9"/>
      <c r="D937" s="20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9"/>
      <c r="D938" s="20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9"/>
      <c r="D939" s="20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9"/>
      <c r="D940" s="20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9"/>
      <c r="D941" s="20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9"/>
      <c r="D942" s="20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9"/>
      <c r="D943" s="20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9"/>
      <c r="D944" s="20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9"/>
      <c r="D945" s="20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9"/>
      <c r="D946" s="20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9"/>
      <c r="D947" s="20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9"/>
      <c r="D948" s="20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9"/>
      <c r="D949" s="20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9"/>
      <c r="D950" s="20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9"/>
      <c r="D951" s="20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9"/>
      <c r="D952" s="20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9"/>
      <c r="D953" s="20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9"/>
      <c r="D954" s="20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9"/>
      <c r="D955" s="20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9"/>
      <c r="D956" s="20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9"/>
      <c r="D957" s="20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9"/>
      <c r="D958" s="20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9"/>
      <c r="D959" s="20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9"/>
      <c r="D960" s="20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9"/>
      <c r="D961" s="20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9"/>
      <c r="D962" s="20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9"/>
      <c r="D963" s="20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9"/>
      <c r="D964" s="20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9"/>
      <c r="D965" s="20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9"/>
      <c r="D966" s="20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9"/>
      <c r="D967" s="20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9"/>
      <c r="D968" s="20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9"/>
      <c r="D969" s="20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9"/>
      <c r="D970" s="20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9"/>
      <c r="D971" s="20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9"/>
      <c r="D972" s="20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9"/>
      <c r="D973" s="20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9"/>
      <c r="D974" s="20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9"/>
      <c r="D975" s="20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9"/>
      <c r="D976" s="20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9"/>
      <c r="D977" s="20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9"/>
      <c r="D978" s="20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9"/>
      <c r="D979" s="20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9"/>
      <c r="D980" s="20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9"/>
      <c r="D981" s="20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9"/>
      <c r="D982" s="20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9"/>
      <c r="D983" s="20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9"/>
      <c r="D984" s="20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9"/>
      <c r="D985" s="20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9"/>
      <c r="D986" s="20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25">
      <c r="A987" s="12"/>
      <c r="B987" s="12"/>
      <c r="C987" s="19"/>
      <c r="D987" s="20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25">
      <c r="A988" s="12"/>
      <c r="B988" s="12"/>
      <c r="C988" s="19"/>
      <c r="D988" s="20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25">
      <c r="A989" s="12"/>
      <c r="B989" s="12"/>
      <c r="C989" s="19"/>
      <c r="D989" s="20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25">
      <c r="A990" s="12"/>
      <c r="B990" s="12"/>
      <c r="C990" s="19"/>
      <c r="D990" s="20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25">
      <c r="A991" s="12"/>
      <c r="B991" s="12"/>
      <c r="C991" s="19"/>
      <c r="D991" s="20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25">
      <c r="A992" s="12"/>
      <c r="B992" s="12"/>
      <c r="C992" s="19"/>
      <c r="D992" s="20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25">
      <c r="A993" s="12"/>
      <c r="B993" s="12"/>
      <c r="C993" s="19"/>
      <c r="D993" s="20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25">
      <c r="A994" s="12"/>
      <c r="B994" s="12"/>
      <c r="C994" s="19"/>
      <c r="D994" s="20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25">
      <c r="A995" s="12"/>
      <c r="B995" s="12"/>
      <c r="C995" s="19"/>
      <c r="D995" s="20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25">
      <c r="A996" s="12"/>
      <c r="B996" s="12"/>
      <c r="C996" s="19"/>
      <c r="D996" s="20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25">
      <c r="A997" s="12"/>
      <c r="B997" s="12"/>
      <c r="C997" s="19"/>
      <c r="D997" s="20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25">
      <c r="A998" s="12"/>
      <c r="B998" s="12"/>
      <c r="C998" s="19"/>
      <c r="D998" s="20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25">
      <c r="A999" s="12"/>
      <c r="B999" s="12"/>
      <c r="C999" s="19"/>
      <c r="D999" s="20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25">
      <c r="A1000" s="12"/>
      <c r="B1000" s="12"/>
      <c r="C1000" s="19"/>
      <c r="D1000" s="20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24" right="0.24" top="0.16" bottom="0.1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30EE-4F59-4A8C-B929-B7F7BBAB752D}">
  <dimension ref="A1:G117"/>
  <sheetViews>
    <sheetView topLeftCell="A19" workbookViewId="0">
      <selection activeCell="D116" sqref="D116"/>
    </sheetView>
  </sheetViews>
  <sheetFormatPr defaultRowHeight="14.25" x14ac:dyDescent="0.2"/>
  <cols>
    <col min="2" max="2" width="16" bestFit="1" customWidth="1"/>
    <col min="3" max="3" width="17.375" customWidth="1"/>
    <col min="7" max="7" width="15.875" customWidth="1"/>
  </cols>
  <sheetData>
    <row r="1" spans="1:7" ht="15.75" x14ac:dyDescent="0.2">
      <c r="A1" s="34" t="s">
        <v>1</v>
      </c>
      <c r="B1" s="34" t="s">
        <v>184</v>
      </c>
      <c r="C1" s="35" t="s">
        <v>5</v>
      </c>
      <c r="D1" s="36" t="s">
        <v>183</v>
      </c>
      <c r="E1" s="42" t="s">
        <v>201</v>
      </c>
      <c r="F1" s="42" t="s">
        <v>202</v>
      </c>
      <c r="G1" s="37" t="s">
        <v>6</v>
      </c>
    </row>
    <row r="2" spans="1:7" ht="15.75" x14ac:dyDescent="0.25">
      <c r="A2" s="27" t="s">
        <v>8</v>
      </c>
      <c r="B2" s="27" t="str">
        <f>VLOOKUP(LEFT(Table1[[#This Row],[PD]],1),CLPCode,2,FALSE)</f>
        <v>Deptford</v>
      </c>
      <c r="C2" s="8" t="s">
        <v>10</v>
      </c>
      <c r="D2" s="9">
        <v>2870</v>
      </c>
      <c r="E2" s="43">
        <f>Table1[[#This Row],[2025]]-$D$116</f>
        <v>1024.5446428571429</v>
      </c>
      <c r="F2" s="43">
        <f>SIGN(Table1[[#This Row],[diff from mean]])</f>
        <v>1</v>
      </c>
      <c r="G2" s="28">
        <v>1</v>
      </c>
    </row>
    <row r="3" spans="1:7" ht="15.75" x14ac:dyDescent="0.25">
      <c r="A3" s="27" t="s">
        <v>12</v>
      </c>
      <c r="B3" s="27" t="str">
        <f>VLOOKUP(LEFT(Table1[[#This Row],[PD]],1),CLPCode,2,FALSE)</f>
        <v>Deptford</v>
      </c>
      <c r="C3" s="8" t="s">
        <v>10</v>
      </c>
      <c r="D3" s="9">
        <v>2152</v>
      </c>
      <c r="E3" s="43">
        <f>Table1[[#This Row],[2025]]-$D$116</f>
        <v>306.54464285714289</v>
      </c>
      <c r="F3" s="43">
        <f>SIGN(Table1[[#This Row],[diff from mean]])</f>
        <v>1</v>
      </c>
      <c r="G3" s="28">
        <v>1</v>
      </c>
    </row>
    <row r="4" spans="1:7" ht="15.75" x14ac:dyDescent="0.25">
      <c r="A4" s="27" t="s">
        <v>14</v>
      </c>
      <c r="B4" s="27" t="str">
        <f>VLOOKUP(LEFT(Table1[[#This Row],[PD]],1),CLPCode,2,FALSE)</f>
        <v>Deptford</v>
      </c>
      <c r="C4" s="8" t="s">
        <v>10</v>
      </c>
      <c r="D4" s="9">
        <v>2902</v>
      </c>
      <c r="E4" s="43">
        <f>Table1[[#This Row],[2025]]-$D$116</f>
        <v>1056.5446428571429</v>
      </c>
      <c r="F4" s="43">
        <f>SIGN(Table1[[#This Row],[diff from mean]])</f>
        <v>1</v>
      </c>
      <c r="G4" s="28">
        <v>1</v>
      </c>
    </row>
    <row r="5" spans="1:7" ht="15.75" x14ac:dyDescent="0.25">
      <c r="A5" s="27" t="s">
        <v>15</v>
      </c>
      <c r="B5" s="27" t="str">
        <f>VLOOKUP(LEFT(Table1[[#This Row],[PD]],1),CLPCode,2,FALSE)</f>
        <v>Deptford</v>
      </c>
      <c r="C5" s="8" t="s">
        <v>10</v>
      </c>
      <c r="D5" s="9">
        <v>4164</v>
      </c>
      <c r="E5" s="43">
        <f>Table1[[#This Row],[2025]]-$D$116</f>
        <v>2318.5446428571431</v>
      </c>
      <c r="F5" s="43">
        <f>SIGN(Table1[[#This Row],[diff from mean]])</f>
        <v>1</v>
      </c>
      <c r="G5" s="28">
        <v>1</v>
      </c>
    </row>
    <row r="6" spans="1:7" ht="15.75" x14ac:dyDescent="0.25">
      <c r="A6" s="27" t="s">
        <v>18</v>
      </c>
      <c r="B6" s="27" t="str">
        <f>VLOOKUP(LEFT(Table1[[#This Row],[PD]],1),CLPCode,2,FALSE)</f>
        <v>Deptford</v>
      </c>
      <c r="C6" s="8" t="s">
        <v>10</v>
      </c>
      <c r="D6" s="9">
        <v>1328</v>
      </c>
      <c r="E6" s="43">
        <f>Table1[[#This Row],[2025]]-$D$116</f>
        <v>-517.45535714285711</v>
      </c>
      <c r="F6" s="43">
        <f>SIGN(Table1[[#This Row],[diff from mean]])</f>
        <v>-1</v>
      </c>
      <c r="G6" s="28">
        <v>2</v>
      </c>
    </row>
    <row r="7" spans="1:7" ht="15.75" x14ac:dyDescent="0.25">
      <c r="A7" s="27" t="s">
        <v>19</v>
      </c>
      <c r="B7" s="27" t="str">
        <f>VLOOKUP(LEFT(Table1[[#This Row],[PD]],1),CLPCode,2,FALSE)</f>
        <v>Deptford</v>
      </c>
      <c r="C7" s="8" t="s">
        <v>10</v>
      </c>
      <c r="D7" s="9">
        <v>1833</v>
      </c>
      <c r="E7" s="43">
        <f>Table1[[#This Row],[2025]]-$D$116</f>
        <v>-12.45535714285711</v>
      </c>
      <c r="F7" s="43">
        <f>SIGN(Table1[[#This Row],[diff from mean]])</f>
        <v>-1</v>
      </c>
      <c r="G7" s="28">
        <v>2</v>
      </c>
    </row>
    <row r="8" spans="1:7" ht="15.75" x14ac:dyDescent="0.25">
      <c r="A8" s="27" t="s">
        <v>20</v>
      </c>
      <c r="B8" s="27" t="str">
        <f>VLOOKUP(LEFT(Table1[[#This Row],[PD]],1),CLPCode,2,FALSE)</f>
        <v>Deptford</v>
      </c>
      <c r="C8" s="8" t="s">
        <v>21</v>
      </c>
      <c r="D8" s="9">
        <v>1953</v>
      </c>
      <c r="E8" s="43">
        <f>Table1[[#This Row],[2025]]-$D$116</f>
        <v>107.54464285714289</v>
      </c>
      <c r="F8" s="43">
        <f>SIGN(Table1[[#This Row],[diff from mean]])</f>
        <v>1</v>
      </c>
      <c r="G8" s="28">
        <v>2</v>
      </c>
    </row>
    <row r="9" spans="1:7" ht="15.75" x14ac:dyDescent="0.25">
      <c r="A9" s="27" t="s">
        <v>23</v>
      </c>
      <c r="B9" s="27" t="str">
        <f>VLOOKUP(LEFT(Table1[[#This Row],[PD]],1),CLPCode,2,FALSE)</f>
        <v>Deptford</v>
      </c>
      <c r="C9" s="8" t="s">
        <v>21</v>
      </c>
      <c r="D9" s="9">
        <v>2241</v>
      </c>
      <c r="E9" s="43">
        <f>Table1[[#This Row],[2025]]-$D$116</f>
        <v>395.54464285714289</v>
      </c>
      <c r="F9" s="43">
        <f>SIGN(Table1[[#This Row],[diff from mean]])</f>
        <v>1</v>
      </c>
      <c r="G9" s="28">
        <v>2</v>
      </c>
    </row>
    <row r="10" spans="1:7" ht="15.75" x14ac:dyDescent="0.25">
      <c r="A10" s="27" t="s">
        <v>26</v>
      </c>
      <c r="B10" s="27" t="str">
        <f>VLOOKUP(LEFT(Table1[[#This Row],[PD]],1),CLPCode,2,FALSE)</f>
        <v>Deptford</v>
      </c>
      <c r="C10" s="8" t="s">
        <v>21</v>
      </c>
      <c r="D10" s="9">
        <v>1038</v>
      </c>
      <c r="E10" s="43">
        <f>Table1[[#This Row],[2025]]-$D$116</f>
        <v>-807.45535714285711</v>
      </c>
      <c r="F10" s="43">
        <f>SIGN(Table1[[#This Row],[diff from mean]])</f>
        <v>-1</v>
      </c>
      <c r="G10" s="28">
        <v>2</v>
      </c>
    </row>
    <row r="11" spans="1:7" ht="15.75" x14ac:dyDescent="0.25">
      <c r="A11" s="27" t="s">
        <v>29</v>
      </c>
      <c r="B11" s="27" t="str">
        <f>VLOOKUP(LEFT(Table1[[#This Row],[PD]],1),CLPCode,2,FALSE)</f>
        <v>Deptford</v>
      </c>
      <c r="C11" s="8" t="s">
        <v>21</v>
      </c>
      <c r="D11" s="9">
        <v>3586</v>
      </c>
      <c r="E11" s="43">
        <f>Table1[[#This Row],[2025]]-$D$116</f>
        <v>1740.5446428571429</v>
      </c>
      <c r="F11" s="43">
        <f>SIGN(Table1[[#This Row],[diff from mean]])</f>
        <v>1</v>
      </c>
      <c r="G11" s="28">
        <v>2</v>
      </c>
    </row>
    <row r="12" spans="1:7" ht="15.75" x14ac:dyDescent="0.25">
      <c r="A12" s="27" t="s">
        <v>32</v>
      </c>
      <c r="B12" s="27" t="str">
        <f>VLOOKUP(LEFT(Table1[[#This Row],[PD]],1),CLPCode,2,FALSE)</f>
        <v>Deptford</v>
      </c>
      <c r="C12" s="8" t="s">
        <v>21</v>
      </c>
      <c r="D12" s="9">
        <v>2928</v>
      </c>
      <c r="E12" s="43">
        <f>Table1[[#This Row],[2025]]-$D$116</f>
        <v>1082.5446428571429</v>
      </c>
      <c r="F12" s="43">
        <f>SIGN(Table1[[#This Row],[diff from mean]])</f>
        <v>1</v>
      </c>
      <c r="G12" s="28">
        <v>3</v>
      </c>
    </row>
    <row r="13" spans="1:7" ht="15.75" x14ac:dyDescent="0.25">
      <c r="A13" s="27" t="s">
        <v>33</v>
      </c>
      <c r="B13" s="27" t="str">
        <f>VLOOKUP(LEFT(Table1[[#This Row],[PD]],1),CLPCode,2,FALSE)</f>
        <v>Deptford</v>
      </c>
      <c r="C13" s="8" t="s">
        <v>21</v>
      </c>
      <c r="D13" s="9">
        <v>1791</v>
      </c>
      <c r="E13" s="43">
        <f>Table1[[#This Row],[2025]]-$D$116</f>
        <v>-54.45535714285711</v>
      </c>
      <c r="F13" s="43">
        <f>SIGN(Table1[[#This Row],[diff from mean]])</f>
        <v>-1</v>
      </c>
      <c r="G13" s="28">
        <v>3</v>
      </c>
    </row>
    <row r="14" spans="1:7" ht="15.75" x14ac:dyDescent="0.25">
      <c r="A14" s="27" t="s">
        <v>35</v>
      </c>
      <c r="B14" s="27" t="str">
        <f>VLOOKUP(LEFT(Table1[[#This Row],[PD]],1),CLPCode,2,FALSE)</f>
        <v>Deptford</v>
      </c>
      <c r="C14" s="8" t="s">
        <v>36</v>
      </c>
      <c r="D14" s="9">
        <v>2015</v>
      </c>
      <c r="E14" s="43">
        <f>Table1[[#This Row],[2025]]-$D$116</f>
        <v>169.54464285714289</v>
      </c>
      <c r="F14" s="43">
        <f>SIGN(Table1[[#This Row],[diff from mean]])</f>
        <v>1</v>
      </c>
      <c r="G14" s="28">
        <v>3</v>
      </c>
    </row>
    <row r="15" spans="1:7" ht="15.75" x14ac:dyDescent="0.25">
      <c r="A15" s="27" t="s">
        <v>38</v>
      </c>
      <c r="B15" s="27" t="str">
        <f>VLOOKUP(LEFT(Table1[[#This Row],[PD]],1),CLPCode,2,FALSE)</f>
        <v>Deptford</v>
      </c>
      <c r="C15" s="8" t="s">
        <v>36</v>
      </c>
      <c r="D15" s="9">
        <v>1869</v>
      </c>
      <c r="E15" s="43">
        <f>Table1[[#This Row],[2025]]-$D$116</f>
        <v>23.54464285714289</v>
      </c>
      <c r="F15" s="43">
        <f>SIGN(Table1[[#This Row],[diff from mean]])</f>
        <v>1</v>
      </c>
      <c r="G15" s="28">
        <v>3</v>
      </c>
    </row>
    <row r="16" spans="1:7" ht="15.75" x14ac:dyDescent="0.25">
      <c r="A16" s="27" t="s">
        <v>26</v>
      </c>
      <c r="B16" s="27" t="str">
        <f>VLOOKUP(LEFT(Table1[[#This Row],[PD]],1),CLPCode,2,FALSE)</f>
        <v>Deptford</v>
      </c>
      <c r="C16" s="8" t="s">
        <v>21</v>
      </c>
      <c r="D16" s="9">
        <v>884</v>
      </c>
      <c r="E16" s="43">
        <f>Table1[[#This Row],[2025]]-$D$116</f>
        <v>-961.45535714285711</v>
      </c>
      <c r="F16" s="43">
        <f>SIGN(Table1[[#This Row],[diff from mean]])</f>
        <v>-1</v>
      </c>
      <c r="G16" s="28">
        <v>3</v>
      </c>
    </row>
    <row r="17" spans="1:7" ht="15.75" x14ac:dyDescent="0.25">
      <c r="A17" s="27" t="s">
        <v>43</v>
      </c>
      <c r="B17" s="27" t="str">
        <f>VLOOKUP(LEFT(Table1[[#This Row],[PD]],1),CLPCode,2,FALSE)</f>
        <v>Deptford</v>
      </c>
      <c r="C17" s="8" t="s">
        <v>36</v>
      </c>
      <c r="D17" s="9">
        <v>3161</v>
      </c>
      <c r="E17" s="43">
        <f>Table1[[#This Row],[2025]]-$D$116</f>
        <v>1315.5446428571429</v>
      </c>
      <c r="F17" s="43">
        <f>SIGN(Table1[[#This Row],[diff from mean]])</f>
        <v>1</v>
      </c>
      <c r="G17" s="28">
        <v>3</v>
      </c>
    </row>
    <row r="18" spans="1:7" ht="15.75" x14ac:dyDescent="0.25">
      <c r="A18" s="27" t="s">
        <v>47</v>
      </c>
      <c r="B18" s="27" t="str">
        <f>VLOOKUP(LEFT(Table1[[#This Row],[PD]],1),CLPCode,2,FALSE)</f>
        <v>Deptford</v>
      </c>
      <c r="C18" s="8" t="s">
        <v>36</v>
      </c>
      <c r="D18" s="9">
        <v>1502</v>
      </c>
      <c r="E18" s="43">
        <f>Table1[[#This Row],[2025]]-$D$116</f>
        <v>-343.45535714285711</v>
      </c>
      <c r="F18" s="43">
        <f>SIGN(Table1[[#This Row],[diff from mean]])</f>
        <v>-1</v>
      </c>
      <c r="G18" s="28">
        <v>4</v>
      </c>
    </row>
    <row r="19" spans="1:7" ht="15.75" x14ac:dyDescent="0.25">
      <c r="A19" s="27" t="s">
        <v>49</v>
      </c>
      <c r="B19" s="27" t="str">
        <f>VLOOKUP(LEFT(Table1[[#This Row],[PD]],1),CLPCode,2,FALSE)</f>
        <v>Deptford</v>
      </c>
      <c r="C19" s="8" t="s">
        <v>36</v>
      </c>
      <c r="D19" s="9">
        <v>1805</v>
      </c>
      <c r="E19" s="43">
        <f>Table1[[#This Row],[2025]]-$D$116</f>
        <v>-40.45535714285711</v>
      </c>
      <c r="F19" s="43">
        <f>SIGN(Table1[[#This Row],[diff from mean]])</f>
        <v>-1</v>
      </c>
      <c r="G19" s="28">
        <v>4</v>
      </c>
    </row>
    <row r="20" spans="1:7" ht="15.75" x14ac:dyDescent="0.25">
      <c r="A20" s="27" t="s">
        <v>50</v>
      </c>
      <c r="B20" s="27" t="str">
        <f>VLOOKUP(LEFT(Table1[[#This Row],[PD]],1),CLPCode,2,FALSE)</f>
        <v>Deptford</v>
      </c>
      <c r="C20" s="8" t="s">
        <v>36</v>
      </c>
      <c r="D20" s="9">
        <v>1928</v>
      </c>
      <c r="E20" s="43">
        <f>Table1[[#This Row],[2025]]-$D$116</f>
        <v>82.54464285714289</v>
      </c>
      <c r="F20" s="43">
        <f>SIGN(Table1[[#This Row],[diff from mean]])</f>
        <v>1</v>
      </c>
      <c r="G20" s="28">
        <v>4</v>
      </c>
    </row>
    <row r="21" spans="1:7" ht="15.75" x14ac:dyDescent="0.25">
      <c r="A21" s="27" t="s">
        <v>51</v>
      </c>
      <c r="B21" s="27" t="str">
        <f>VLOOKUP(LEFT(Table1[[#This Row],[PD]],1),CLPCode,2,FALSE)</f>
        <v>Deptford</v>
      </c>
      <c r="C21" s="8" t="s">
        <v>52</v>
      </c>
      <c r="D21" s="9">
        <v>1624</v>
      </c>
      <c r="E21" s="43">
        <f>Table1[[#This Row],[2025]]-$D$116</f>
        <v>-221.45535714285711</v>
      </c>
      <c r="F21" s="43">
        <f>SIGN(Table1[[#This Row],[diff from mean]])</f>
        <v>-1</v>
      </c>
      <c r="G21" s="28">
        <v>4</v>
      </c>
    </row>
    <row r="22" spans="1:7" ht="15.75" x14ac:dyDescent="0.25">
      <c r="A22" s="27" t="s">
        <v>53</v>
      </c>
      <c r="B22" s="27" t="str">
        <f>VLOOKUP(LEFT(Table1[[#This Row],[PD]],1),CLPCode,2,FALSE)</f>
        <v>Deptford</v>
      </c>
      <c r="C22" s="8" t="s">
        <v>52</v>
      </c>
      <c r="D22" s="9">
        <v>1104</v>
      </c>
      <c r="E22" s="43">
        <f>Table1[[#This Row],[2025]]-$D$116</f>
        <v>-741.45535714285711</v>
      </c>
      <c r="F22" s="43">
        <f>SIGN(Table1[[#This Row],[diff from mean]])</f>
        <v>-1</v>
      </c>
      <c r="G22" s="28">
        <v>4</v>
      </c>
    </row>
    <row r="23" spans="1:7" ht="15.75" x14ac:dyDescent="0.25">
      <c r="A23" s="27" t="s">
        <v>54</v>
      </c>
      <c r="B23" s="27" t="str">
        <f>VLOOKUP(LEFT(Table1[[#This Row],[PD]],1),CLPCode,2,FALSE)</f>
        <v>Deptford</v>
      </c>
      <c r="C23" s="8" t="s">
        <v>52</v>
      </c>
      <c r="D23" s="9">
        <v>2134</v>
      </c>
      <c r="E23" s="43">
        <f>Table1[[#This Row],[2025]]-$D$116</f>
        <v>288.54464285714289</v>
      </c>
      <c r="F23" s="43">
        <f>SIGN(Table1[[#This Row],[diff from mean]])</f>
        <v>1</v>
      </c>
      <c r="G23" s="28">
        <v>4</v>
      </c>
    </row>
    <row r="24" spans="1:7" ht="15.75" x14ac:dyDescent="0.25">
      <c r="A24" s="27" t="s">
        <v>55</v>
      </c>
      <c r="B24" s="27" t="str">
        <f>VLOOKUP(LEFT(Table1[[#This Row],[PD]],1),CLPCode,2,FALSE)</f>
        <v>Deptford</v>
      </c>
      <c r="C24" s="8" t="s">
        <v>52</v>
      </c>
      <c r="D24" s="9">
        <v>1802</v>
      </c>
      <c r="E24" s="43">
        <f>Table1[[#This Row],[2025]]-$D$116</f>
        <v>-43.45535714285711</v>
      </c>
      <c r="F24" s="43">
        <f>SIGN(Table1[[#This Row],[diff from mean]])</f>
        <v>-1</v>
      </c>
      <c r="G24" s="28">
        <v>4</v>
      </c>
    </row>
    <row r="25" spans="1:7" ht="15.75" x14ac:dyDescent="0.25">
      <c r="A25" s="27" t="s">
        <v>56</v>
      </c>
      <c r="B25" s="27" t="str">
        <f>VLOOKUP(LEFT(Table1[[#This Row],[PD]],1),CLPCode,2,FALSE)</f>
        <v>Deptford</v>
      </c>
      <c r="C25" s="8" t="s">
        <v>57</v>
      </c>
      <c r="D25" s="9">
        <v>2226</v>
      </c>
      <c r="E25" s="43">
        <f>Table1[[#This Row],[2025]]-$D$116</f>
        <v>380.54464285714289</v>
      </c>
      <c r="F25" s="43">
        <f>SIGN(Table1[[#This Row],[diff from mean]])</f>
        <v>1</v>
      </c>
      <c r="G25" s="28">
        <v>5</v>
      </c>
    </row>
    <row r="26" spans="1:7" ht="15.75" x14ac:dyDescent="0.25">
      <c r="A26" s="27" t="s">
        <v>58</v>
      </c>
      <c r="B26" s="27" t="str">
        <f>VLOOKUP(LEFT(Table1[[#This Row],[PD]],1),CLPCode,2,FALSE)</f>
        <v>Deptford</v>
      </c>
      <c r="C26" s="8" t="s">
        <v>57</v>
      </c>
      <c r="D26" s="9">
        <v>2335</v>
      </c>
      <c r="E26" s="43">
        <f>Table1[[#This Row],[2025]]-$D$116</f>
        <v>489.54464285714289</v>
      </c>
      <c r="F26" s="43">
        <f>SIGN(Table1[[#This Row],[diff from mean]])</f>
        <v>1</v>
      </c>
      <c r="G26" s="28">
        <v>5</v>
      </c>
    </row>
    <row r="27" spans="1:7" ht="15.75" x14ac:dyDescent="0.25">
      <c r="A27" s="27" t="s">
        <v>59</v>
      </c>
      <c r="B27" s="27" t="str">
        <f>VLOOKUP(LEFT(Table1[[#This Row],[PD]],1),CLPCode,2,FALSE)</f>
        <v>Deptford</v>
      </c>
      <c r="C27" s="8" t="s">
        <v>57</v>
      </c>
      <c r="D27" s="9">
        <v>1675</v>
      </c>
      <c r="E27" s="43">
        <f>Table1[[#This Row],[2025]]-$D$116</f>
        <v>-170.45535714285711</v>
      </c>
      <c r="F27" s="43">
        <f>SIGN(Table1[[#This Row],[diff from mean]])</f>
        <v>-1</v>
      </c>
      <c r="G27" s="28">
        <v>5</v>
      </c>
    </row>
    <row r="28" spans="1:7" ht="15.75" x14ac:dyDescent="0.25">
      <c r="A28" s="27" t="s">
        <v>60</v>
      </c>
      <c r="B28" s="27" t="str">
        <f>VLOOKUP(LEFT(Table1[[#This Row],[PD]],1),CLPCode,2,FALSE)</f>
        <v>Deptford</v>
      </c>
      <c r="C28" s="8" t="s">
        <v>57</v>
      </c>
      <c r="D28" s="9">
        <v>1871</v>
      </c>
      <c r="E28" s="43">
        <f>Table1[[#This Row],[2025]]-$D$116</f>
        <v>25.54464285714289</v>
      </c>
      <c r="F28" s="43">
        <f>SIGN(Table1[[#This Row],[diff from mean]])</f>
        <v>1</v>
      </c>
      <c r="G28" s="28">
        <v>5</v>
      </c>
    </row>
    <row r="29" spans="1:7" ht="15.75" x14ac:dyDescent="0.25">
      <c r="A29" s="27" t="s">
        <v>61</v>
      </c>
      <c r="B29" s="27" t="str">
        <f>VLOOKUP(LEFT(Table1[[#This Row],[PD]],1),CLPCode,2,FALSE)</f>
        <v>Deptford</v>
      </c>
      <c r="C29" s="8" t="s">
        <v>57</v>
      </c>
      <c r="D29" s="9">
        <v>1915</v>
      </c>
      <c r="E29" s="43">
        <f>Table1[[#This Row],[2025]]-$D$116</f>
        <v>69.54464285714289</v>
      </c>
      <c r="F29" s="43">
        <f>SIGN(Table1[[#This Row],[diff from mean]])</f>
        <v>1</v>
      </c>
      <c r="G29" s="28">
        <v>5</v>
      </c>
    </row>
    <row r="30" spans="1:7" ht="15.75" x14ac:dyDescent="0.25">
      <c r="A30" s="27" t="s">
        <v>62</v>
      </c>
      <c r="B30" s="27" t="str">
        <f>VLOOKUP(LEFT(Table1[[#This Row],[PD]],1),CLPCode,2,FALSE)</f>
        <v>Deptford</v>
      </c>
      <c r="C30" s="8" t="s">
        <v>57</v>
      </c>
      <c r="D30" s="9">
        <v>1706</v>
      </c>
      <c r="E30" s="43">
        <f>Table1[[#This Row],[2025]]-$D$116</f>
        <v>-139.45535714285711</v>
      </c>
      <c r="F30" s="43">
        <f>SIGN(Table1[[#This Row],[diff from mean]])</f>
        <v>-1</v>
      </c>
      <c r="G30" s="28">
        <v>5</v>
      </c>
    </row>
    <row r="31" spans="1:7" ht="15.75" x14ac:dyDescent="0.25">
      <c r="A31" s="27" t="s">
        <v>63</v>
      </c>
      <c r="B31" s="27" t="str">
        <f>VLOOKUP(LEFT(Table1[[#This Row],[PD]],1),CLPCode,2,FALSE)</f>
        <v>Deptford</v>
      </c>
      <c r="C31" s="8" t="s">
        <v>52</v>
      </c>
      <c r="D31" s="9">
        <v>1116</v>
      </c>
      <c r="E31" s="43">
        <f>Table1[[#This Row],[2025]]-$D$116</f>
        <v>-729.45535714285711</v>
      </c>
      <c r="F31" s="43">
        <f>SIGN(Table1[[#This Row],[diff from mean]])</f>
        <v>-1</v>
      </c>
      <c r="G31" s="28">
        <v>6</v>
      </c>
    </row>
    <row r="32" spans="1:7" ht="15.75" x14ac:dyDescent="0.25">
      <c r="A32" s="27" t="s">
        <v>64</v>
      </c>
      <c r="B32" s="27" t="str">
        <f>VLOOKUP(LEFT(Table1[[#This Row],[PD]],1),CLPCode,2,FALSE)</f>
        <v>Deptford</v>
      </c>
      <c r="C32" s="8" t="s">
        <v>52</v>
      </c>
      <c r="D32" s="9">
        <v>2074</v>
      </c>
      <c r="E32" s="43">
        <f>Table1[[#This Row],[2025]]-$D$116</f>
        <v>228.54464285714289</v>
      </c>
      <c r="F32" s="43">
        <f>SIGN(Table1[[#This Row],[diff from mean]])</f>
        <v>1</v>
      </c>
      <c r="G32" s="28">
        <v>6</v>
      </c>
    </row>
    <row r="33" spans="1:7" ht="15.75" x14ac:dyDescent="0.25">
      <c r="A33" s="27" t="s">
        <v>65</v>
      </c>
      <c r="B33" s="27" t="str">
        <f>VLOOKUP(LEFT(Table1[[#This Row],[PD]],1),CLPCode,2,FALSE)</f>
        <v>Deptford</v>
      </c>
      <c r="C33" s="8" t="s">
        <v>66</v>
      </c>
      <c r="D33" s="9">
        <v>1459</v>
      </c>
      <c r="E33" s="43">
        <f>Table1[[#This Row],[2025]]-$D$116</f>
        <v>-386.45535714285711</v>
      </c>
      <c r="F33" s="43">
        <f>SIGN(Table1[[#This Row],[diff from mean]])</f>
        <v>-1</v>
      </c>
      <c r="G33" s="28">
        <v>6</v>
      </c>
    </row>
    <row r="34" spans="1:7" ht="15.75" x14ac:dyDescent="0.25">
      <c r="A34" s="27" t="s">
        <v>68</v>
      </c>
      <c r="B34" s="27" t="str">
        <f>VLOOKUP(LEFT(Table1[[#This Row],[PD]],1),CLPCode,2,FALSE)</f>
        <v>Deptford</v>
      </c>
      <c r="C34" s="8" t="s">
        <v>66</v>
      </c>
      <c r="D34" s="9">
        <v>4314</v>
      </c>
      <c r="E34" s="43">
        <f>Table1[[#This Row],[2025]]-$D$116</f>
        <v>2468.5446428571431</v>
      </c>
      <c r="F34" s="43">
        <f>SIGN(Table1[[#This Row],[diff from mean]])</f>
        <v>1</v>
      </c>
      <c r="G34" s="28">
        <v>6</v>
      </c>
    </row>
    <row r="35" spans="1:7" ht="15.75" x14ac:dyDescent="0.25">
      <c r="A35" s="27" t="s">
        <v>69</v>
      </c>
      <c r="B35" s="27" t="str">
        <f>VLOOKUP(LEFT(Table1[[#This Row],[PD]],1),CLPCode,2,FALSE)</f>
        <v>Deptford</v>
      </c>
      <c r="C35" s="8" t="s">
        <v>66</v>
      </c>
      <c r="D35" s="9">
        <v>2230</v>
      </c>
      <c r="E35" s="43">
        <f>Table1[[#This Row],[2025]]-$D$116</f>
        <v>384.54464285714289</v>
      </c>
      <c r="F35" s="43">
        <f>SIGN(Table1[[#This Row],[diff from mean]])</f>
        <v>1</v>
      </c>
      <c r="G35" s="28">
        <v>6</v>
      </c>
    </row>
    <row r="36" spans="1:7" ht="15.75" x14ac:dyDescent="0.25">
      <c r="A36" s="27" t="s">
        <v>65</v>
      </c>
      <c r="B36" s="27" t="str">
        <f>VLOOKUP(LEFT(Table1[[#This Row],[PD]],1),CLPCode,2,FALSE)</f>
        <v>Deptford</v>
      </c>
      <c r="C36" s="8" t="s">
        <v>66</v>
      </c>
      <c r="D36" s="9">
        <v>1022</v>
      </c>
      <c r="E36" s="43">
        <f>Table1[[#This Row],[2025]]-$D$116</f>
        <v>-823.45535714285711</v>
      </c>
      <c r="F36" s="43">
        <f>SIGN(Table1[[#This Row],[diff from mean]])</f>
        <v>-1</v>
      </c>
      <c r="G36" s="28">
        <v>7</v>
      </c>
    </row>
    <row r="37" spans="1:7" ht="15.75" x14ac:dyDescent="0.25">
      <c r="A37" s="27" t="s">
        <v>70</v>
      </c>
      <c r="B37" s="27" t="str">
        <f>VLOOKUP(LEFT(Table1[[#This Row],[PD]],1),CLPCode,2,FALSE)</f>
        <v>East</v>
      </c>
      <c r="C37" s="8" t="s">
        <v>71</v>
      </c>
      <c r="D37" s="9">
        <v>1670</v>
      </c>
      <c r="E37" s="43">
        <f>Table1[[#This Row],[2025]]-$D$116</f>
        <v>-175.45535714285711</v>
      </c>
      <c r="F37" s="43">
        <f>SIGN(Table1[[#This Row],[diff from mean]])</f>
        <v>-1</v>
      </c>
      <c r="G37" s="28">
        <v>7</v>
      </c>
    </row>
    <row r="38" spans="1:7" ht="15.75" x14ac:dyDescent="0.25">
      <c r="A38" s="27" t="s">
        <v>72</v>
      </c>
      <c r="B38" s="27" t="str">
        <f>VLOOKUP(LEFT(Table1[[#This Row],[PD]],1),CLPCode,2,FALSE)</f>
        <v>East</v>
      </c>
      <c r="C38" s="8" t="s">
        <v>71</v>
      </c>
      <c r="D38" s="9">
        <v>1302</v>
      </c>
      <c r="E38" s="43">
        <f>Table1[[#This Row],[2025]]-$D$116</f>
        <v>-543.45535714285711</v>
      </c>
      <c r="F38" s="43">
        <f>SIGN(Table1[[#This Row],[diff from mean]])</f>
        <v>-1</v>
      </c>
      <c r="G38" s="28">
        <v>7</v>
      </c>
    </row>
    <row r="39" spans="1:7" ht="15.75" x14ac:dyDescent="0.25">
      <c r="A39" s="27" t="s">
        <v>73</v>
      </c>
      <c r="B39" s="27" t="str">
        <f>VLOOKUP(LEFT(Table1[[#This Row],[PD]],1),CLPCode,2,FALSE)</f>
        <v>East</v>
      </c>
      <c r="C39" s="8" t="s">
        <v>71</v>
      </c>
      <c r="D39" s="9">
        <v>1837</v>
      </c>
      <c r="E39" s="43">
        <f>Table1[[#This Row],[2025]]-$D$116</f>
        <v>-8.4553571428571104</v>
      </c>
      <c r="F39" s="43">
        <f>SIGN(Table1[[#This Row],[diff from mean]])</f>
        <v>-1</v>
      </c>
      <c r="G39" s="28">
        <v>7</v>
      </c>
    </row>
    <row r="40" spans="1:7" ht="15.75" x14ac:dyDescent="0.25">
      <c r="A40" s="27" t="s">
        <v>74</v>
      </c>
      <c r="B40" s="27" t="str">
        <f>VLOOKUP(LEFT(Table1[[#This Row],[PD]],1),CLPCode,2,FALSE)</f>
        <v>East</v>
      </c>
      <c r="C40" s="8" t="s">
        <v>71</v>
      </c>
      <c r="D40" s="9">
        <v>2377</v>
      </c>
      <c r="E40" s="43">
        <f>Table1[[#This Row],[2025]]-$D$116</f>
        <v>531.54464285714289</v>
      </c>
      <c r="F40" s="43">
        <f>SIGN(Table1[[#This Row],[diff from mean]])</f>
        <v>1</v>
      </c>
      <c r="G40" s="28">
        <v>7</v>
      </c>
    </row>
    <row r="41" spans="1:7" ht="15.75" x14ac:dyDescent="0.25">
      <c r="A41" s="27" t="s">
        <v>75</v>
      </c>
      <c r="B41" s="27" t="str">
        <f>VLOOKUP(LEFT(Table1[[#This Row],[PD]],1),CLPCode,2,FALSE)</f>
        <v>East</v>
      </c>
      <c r="C41" s="8" t="s">
        <v>71</v>
      </c>
      <c r="D41" s="9">
        <v>1297</v>
      </c>
      <c r="E41" s="43">
        <f>Table1[[#This Row],[2025]]-$D$116</f>
        <v>-548.45535714285711</v>
      </c>
      <c r="F41" s="43">
        <f>SIGN(Table1[[#This Row],[diff from mean]])</f>
        <v>-1</v>
      </c>
      <c r="G41" s="28">
        <v>7</v>
      </c>
    </row>
    <row r="42" spans="1:7" ht="15.75" x14ac:dyDescent="0.25">
      <c r="A42" s="27" t="s">
        <v>76</v>
      </c>
      <c r="B42" s="27" t="str">
        <f>VLOOKUP(LEFT(Table1[[#This Row],[PD]],1),CLPCode,2,FALSE)</f>
        <v>East</v>
      </c>
      <c r="C42" s="8" t="s">
        <v>71</v>
      </c>
      <c r="D42" s="9">
        <v>1702</v>
      </c>
      <c r="E42" s="43">
        <f>Table1[[#This Row],[2025]]-$D$116</f>
        <v>-143.45535714285711</v>
      </c>
      <c r="F42" s="43">
        <f>SIGN(Table1[[#This Row],[diff from mean]])</f>
        <v>-1</v>
      </c>
      <c r="G42" s="28">
        <v>7</v>
      </c>
    </row>
    <row r="43" spans="1:7" ht="15.75" x14ac:dyDescent="0.25">
      <c r="A43" s="27" t="s">
        <v>77</v>
      </c>
      <c r="B43" s="27" t="str">
        <f>VLOOKUP(LEFT(Table1[[#This Row],[PD]],1),CLPCode,2,FALSE)</f>
        <v>Deptford</v>
      </c>
      <c r="C43" s="8" t="s">
        <v>78</v>
      </c>
      <c r="D43" s="9">
        <v>1846</v>
      </c>
      <c r="E43" s="43">
        <f>Table1[[#This Row],[2025]]-$D$116</f>
        <v>0.54464285714288962</v>
      </c>
      <c r="F43" s="43">
        <f>SIGN(Table1[[#This Row],[diff from mean]])</f>
        <v>1</v>
      </c>
      <c r="G43" s="28">
        <v>8</v>
      </c>
    </row>
    <row r="44" spans="1:7" ht="15.75" x14ac:dyDescent="0.25">
      <c r="A44" s="27" t="s">
        <v>79</v>
      </c>
      <c r="B44" s="27" t="str">
        <f>VLOOKUP(LEFT(Table1[[#This Row],[PD]],1),CLPCode,2,FALSE)</f>
        <v>Deptford</v>
      </c>
      <c r="C44" s="8" t="s">
        <v>78</v>
      </c>
      <c r="D44" s="9">
        <v>1851</v>
      </c>
      <c r="E44" s="43">
        <f>Table1[[#This Row],[2025]]-$D$116</f>
        <v>5.5446428571428896</v>
      </c>
      <c r="F44" s="43">
        <f>SIGN(Table1[[#This Row],[diff from mean]])</f>
        <v>1</v>
      </c>
      <c r="G44" s="28">
        <v>8</v>
      </c>
    </row>
    <row r="45" spans="1:7" ht="15.75" x14ac:dyDescent="0.25">
      <c r="A45" s="27" t="s">
        <v>80</v>
      </c>
      <c r="B45" s="27" t="str">
        <f>VLOOKUP(LEFT(Table1[[#This Row],[PD]],1),CLPCode,2,FALSE)</f>
        <v>Deptford</v>
      </c>
      <c r="C45" s="8" t="s">
        <v>78</v>
      </c>
      <c r="D45" s="9">
        <v>1705</v>
      </c>
      <c r="E45" s="43">
        <f>Table1[[#This Row],[2025]]-$D$116</f>
        <v>-140.45535714285711</v>
      </c>
      <c r="F45" s="43">
        <f>SIGN(Table1[[#This Row],[diff from mean]])</f>
        <v>-1</v>
      </c>
      <c r="G45" s="28">
        <v>8</v>
      </c>
    </row>
    <row r="46" spans="1:7" ht="15.75" x14ac:dyDescent="0.25">
      <c r="A46" s="27" t="s">
        <v>81</v>
      </c>
      <c r="B46" s="27" t="str">
        <f>VLOOKUP(LEFT(Table1[[#This Row],[PD]],1),CLPCode,2,FALSE)</f>
        <v>Deptford</v>
      </c>
      <c r="C46" s="8" t="s">
        <v>78</v>
      </c>
      <c r="D46" s="9">
        <v>1927</v>
      </c>
      <c r="E46" s="43">
        <f>Table1[[#This Row],[2025]]-$D$116</f>
        <v>81.54464285714289</v>
      </c>
      <c r="F46" s="43">
        <f>SIGN(Table1[[#This Row],[diff from mean]])</f>
        <v>1</v>
      </c>
      <c r="G46" s="28">
        <v>8</v>
      </c>
    </row>
    <row r="47" spans="1:7" ht="15.75" x14ac:dyDescent="0.25">
      <c r="A47" s="27" t="s">
        <v>82</v>
      </c>
      <c r="B47" s="27" t="str">
        <f>VLOOKUP(LEFT(Table1[[#This Row],[PD]],1),CLPCode,2,FALSE)</f>
        <v>Deptford</v>
      </c>
      <c r="C47" s="8" t="s">
        <v>78</v>
      </c>
      <c r="D47" s="9">
        <v>1916</v>
      </c>
      <c r="E47" s="43">
        <f>Table1[[#This Row],[2025]]-$D$116</f>
        <v>70.54464285714289</v>
      </c>
      <c r="F47" s="43">
        <f>SIGN(Table1[[#This Row],[diff from mean]])</f>
        <v>1</v>
      </c>
      <c r="G47" s="28">
        <v>8</v>
      </c>
    </row>
    <row r="48" spans="1:7" ht="15.75" x14ac:dyDescent="0.25">
      <c r="A48" s="27" t="s">
        <v>83</v>
      </c>
      <c r="B48" s="27" t="str">
        <f>VLOOKUP(LEFT(Table1[[#This Row],[PD]],1),CLPCode,2,FALSE)</f>
        <v>Deptford</v>
      </c>
      <c r="C48" s="8" t="s">
        <v>78</v>
      </c>
      <c r="D48" s="9">
        <v>1664</v>
      </c>
      <c r="E48" s="43">
        <f>Table1[[#This Row],[2025]]-$D$116</f>
        <v>-181.45535714285711</v>
      </c>
      <c r="F48" s="43">
        <f>SIGN(Table1[[#This Row],[diff from mean]])</f>
        <v>-1</v>
      </c>
      <c r="G48" s="28">
        <v>8</v>
      </c>
    </row>
    <row r="49" spans="1:7" ht="15.75" x14ac:dyDescent="0.2">
      <c r="A49" s="27" t="s">
        <v>84</v>
      </c>
      <c r="B49" s="27" t="str">
        <f>VLOOKUP(LEFT(Table1[[#This Row],[PD]],1),CLPCode,2,FALSE)</f>
        <v>East</v>
      </c>
      <c r="C49" s="8" t="s">
        <v>85</v>
      </c>
      <c r="D49" s="9">
        <v>1919</v>
      </c>
      <c r="E49" s="43">
        <f>Table1[[#This Row],[2025]]-$D$116</f>
        <v>73.54464285714289</v>
      </c>
      <c r="F49" s="43">
        <f>SIGN(Table1[[#This Row],[diff from mean]])</f>
        <v>1</v>
      </c>
      <c r="G49" s="29">
        <v>8</v>
      </c>
    </row>
    <row r="50" spans="1:7" ht="15.75" x14ac:dyDescent="0.25">
      <c r="A50" s="27" t="s">
        <v>87</v>
      </c>
      <c r="B50" s="27" t="str">
        <f>VLOOKUP(LEFT(Table1[[#This Row],[PD]],1),CLPCode,2,FALSE)</f>
        <v>East</v>
      </c>
      <c r="C50" s="8" t="s">
        <v>30</v>
      </c>
      <c r="D50" s="9">
        <v>1866</v>
      </c>
      <c r="E50" s="43">
        <f>Table1[[#This Row],[2025]]-$D$116</f>
        <v>20.54464285714289</v>
      </c>
      <c r="F50" s="43">
        <f>SIGN(Table1[[#This Row],[diff from mean]])</f>
        <v>1</v>
      </c>
      <c r="G50" s="28">
        <v>9</v>
      </c>
    </row>
    <row r="51" spans="1:7" ht="15.75" x14ac:dyDescent="0.25">
      <c r="A51" s="27" t="s">
        <v>88</v>
      </c>
      <c r="B51" s="27" t="str">
        <f>VLOOKUP(LEFT(Table1[[#This Row],[PD]],1),CLPCode,2,FALSE)</f>
        <v>East</v>
      </c>
      <c r="C51" s="8" t="s">
        <v>30</v>
      </c>
      <c r="D51" s="9">
        <v>2048</v>
      </c>
      <c r="E51" s="43">
        <f>Table1[[#This Row],[2025]]-$D$116</f>
        <v>202.54464285714289</v>
      </c>
      <c r="F51" s="43">
        <f>SIGN(Table1[[#This Row],[diff from mean]])</f>
        <v>1</v>
      </c>
      <c r="G51" s="28">
        <v>9</v>
      </c>
    </row>
    <row r="52" spans="1:7" ht="15.75" x14ac:dyDescent="0.25">
      <c r="A52" s="27" t="s">
        <v>89</v>
      </c>
      <c r="B52" s="27" t="str">
        <f>VLOOKUP(LEFT(Table1[[#This Row],[PD]],1),CLPCode,2,FALSE)</f>
        <v>East</v>
      </c>
      <c r="C52" s="8" t="s">
        <v>30</v>
      </c>
      <c r="D52" s="9">
        <v>2121</v>
      </c>
      <c r="E52" s="43">
        <f>Table1[[#This Row],[2025]]-$D$116</f>
        <v>275.54464285714289</v>
      </c>
      <c r="F52" s="43">
        <f>SIGN(Table1[[#This Row],[diff from mean]])</f>
        <v>1</v>
      </c>
      <c r="G52" s="28">
        <v>9</v>
      </c>
    </row>
    <row r="53" spans="1:7" ht="15.75" x14ac:dyDescent="0.25">
      <c r="A53" s="27" t="s">
        <v>90</v>
      </c>
      <c r="B53" s="27" t="str">
        <f>VLOOKUP(LEFT(Table1[[#This Row],[PD]],1),CLPCode,2,FALSE)</f>
        <v>East</v>
      </c>
      <c r="C53" s="8" t="s">
        <v>30</v>
      </c>
      <c r="D53" s="9">
        <v>1876</v>
      </c>
      <c r="E53" s="43">
        <f>Table1[[#This Row],[2025]]-$D$116</f>
        <v>30.54464285714289</v>
      </c>
      <c r="F53" s="43">
        <f>SIGN(Table1[[#This Row],[diff from mean]])</f>
        <v>1</v>
      </c>
      <c r="G53" s="28">
        <v>9</v>
      </c>
    </row>
    <row r="54" spans="1:7" ht="15.75" x14ac:dyDescent="0.25">
      <c r="A54" s="27" t="s">
        <v>91</v>
      </c>
      <c r="B54" s="27" t="str">
        <f>VLOOKUP(LEFT(Table1[[#This Row],[PD]],1),CLPCode,2,FALSE)</f>
        <v>East</v>
      </c>
      <c r="C54" s="8" t="s">
        <v>30</v>
      </c>
      <c r="D54" s="9">
        <v>1393</v>
      </c>
      <c r="E54" s="43">
        <f>Table1[[#This Row],[2025]]-$D$116</f>
        <v>-452.45535714285711</v>
      </c>
      <c r="F54" s="43">
        <f>SIGN(Table1[[#This Row],[diff from mean]])</f>
        <v>-1</v>
      </c>
      <c r="G54" s="28">
        <v>9</v>
      </c>
    </row>
    <row r="55" spans="1:7" ht="15.75" x14ac:dyDescent="0.25">
      <c r="A55" s="27" t="s">
        <v>92</v>
      </c>
      <c r="B55" s="27" t="str">
        <f>VLOOKUP(LEFT(Table1[[#This Row],[PD]],1),CLPCode,2,FALSE)</f>
        <v>East</v>
      </c>
      <c r="C55" s="8" t="s">
        <v>30</v>
      </c>
      <c r="D55" s="9">
        <v>1414</v>
      </c>
      <c r="E55" s="43">
        <f>Table1[[#This Row],[2025]]-$D$116</f>
        <v>-431.45535714285711</v>
      </c>
      <c r="F55" s="43">
        <f>SIGN(Table1[[#This Row],[diff from mean]])</f>
        <v>-1</v>
      </c>
      <c r="G55" s="28">
        <v>9</v>
      </c>
    </row>
    <row r="56" spans="1:7" ht="15.75" x14ac:dyDescent="0.25">
      <c r="A56" s="27" t="s">
        <v>93</v>
      </c>
      <c r="B56" s="27" t="str">
        <f>VLOOKUP(LEFT(Table1[[#This Row],[PD]],1),CLPCode,2,FALSE)</f>
        <v>Deptford</v>
      </c>
      <c r="C56" s="8" t="s">
        <v>66</v>
      </c>
      <c r="D56" s="9">
        <v>3274</v>
      </c>
      <c r="E56" s="43">
        <f>Table1[[#This Row],[2025]]-$D$116</f>
        <v>1428.5446428571429</v>
      </c>
      <c r="F56" s="43">
        <f>SIGN(Table1[[#This Row],[diff from mean]])</f>
        <v>1</v>
      </c>
      <c r="G56" s="28">
        <v>10</v>
      </c>
    </row>
    <row r="57" spans="1:7" ht="15.75" x14ac:dyDescent="0.25">
      <c r="A57" s="27" t="s">
        <v>94</v>
      </c>
      <c r="B57" s="27" t="str">
        <f>VLOOKUP(LEFT(Table1[[#This Row],[PD]],1),CLPCode,2,FALSE)</f>
        <v>Deptford</v>
      </c>
      <c r="C57" s="8" t="s">
        <v>66</v>
      </c>
      <c r="D57" s="9">
        <v>1858</v>
      </c>
      <c r="E57" s="43">
        <f>Table1[[#This Row],[2025]]-$D$116</f>
        <v>12.54464285714289</v>
      </c>
      <c r="F57" s="43">
        <f>SIGN(Table1[[#This Row],[diff from mean]])</f>
        <v>1</v>
      </c>
      <c r="G57" s="28">
        <v>10</v>
      </c>
    </row>
    <row r="58" spans="1:7" ht="15.75" x14ac:dyDescent="0.25">
      <c r="A58" s="27" t="s">
        <v>95</v>
      </c>
      <c r="B58" s="27" t="str">
        <f>VLOOKUP(LEFT(Table1[[#This Row],[PD]],1),CLPCode,2,FALSE)</f>
        <v>East</v>
      </c>
      <c r="C58" s="8" t="s">
        <v>96</v>
      </c>
      <c r="D58" s="9">
        <v>1877</v>
      </c>
      <c r="E58" s="43">
        <f>Table1[[#This Row],[2025]]-$D$116</f>
        <v>31.54464285714289</v>
      </c>
      <c r="F58" s="43">
        <f>SIGN(Table1[[#This Row],[diff from mean]])</f>
        <v>1</v>
      </c>
      <c r="G58" s="28">
        <v>10</v>
      </c>
    </row>
    <row r="59" spans="1:7" ht="15.75" x14ac:dyDescent="0.25">
      <c r="A59" s="27" t="s">
        <v>97</v>
      </c>
      <c r="B59" s="27" t="str">
        <f>VLOOKUP(LEFT(Table1[[#This Row],[PD]],1),CLPCode,2,FALSE)</f>
        <v>East</v>
      </c>
      <c r="C59" s="8" t="s">
        <v>96</v>
      </c>
      <c r="D59" s="9">
        <v>1551</v>
      </c>
      <c r="E59" s="43">
        <f>Table1[[#This Row],[2025]]-$D$116</f>
        <v>-294.45535714285711</v>
      </c>
      <c r="F59" s="43">
        <f>SIGN(Table1[[#This Row],[diff from mean]])</f>
        <v>-1</v>
      </c>
      <c r="G59" s="28">
        <v>10</v>
      </c>
    </row>
    <row r="60" spans="1:7" ht="15.75" x14ac:dyDescent="0.25">
      <c r="A60" s="27" t="s">
        <v>98</v>
      </c>
      <c r="B60" s="27" t="str">
        <f>VLOOKUP(LEFT(Table1[[#This Row],[PD]],1),CLPCode,2,FALSE)</f>
        <v>East</v>
      </c>
      <c r="C60" s="8" t="s">
        <v>99</v>
      </c>
      <c r="D60" s="9">
        <v>2354</v>
      </c>
      <c r="E60" s="43">
        <f>Table1[[#This Row],[2025]]-$D$116</f>
        <v>508.54464285714289</v>
      </c>
      <c r="F60" s="43">
        <f>SIGN(Table1[[#This Row],[diff from mean]])</f>
        <v>1</v>
      </c>
      <c r="G60" s="28">
        <v>10</v>
      </c>
    </row>
    <row r="61" spans="1:7" ht="15.75" x14ac:dyDescent="0.25">
      <c r="A61" s="27" t="s">
        <v>100</v>
      </c>
      <c r="B61" s="27" t="str">
        <f>VLOOKUP(LEFT(Table1[[#This Row],[PD]],1),CLPCode,2,FALSE)</f>
        <v>East</v>
      </c>
      <c r="C61" s="8" t="s">
        <v>99</v>
      </c>
      <c r="D61" s="9">
        <v>1124</v>
      </c>
      <c r="E61" s="43">
        <f>Table1[[#This Row],[2025]]-$D$116</f>
        <v>-721.45535714285711</v>
      </c>
      <c r="F61" s="43">
        <f>SIGN(Table1[[#This Row],[diff from mean]])</f>
        <v>-1</v>
      </c>
      <c r="G61" s="28">
        <v>10</v>
      </c>
    </row>
    <row r="62" spans="1:7" ht="15.75" x14ac:dyDescent="0.25">
      <c r="A62" s="27" t="s">
        <v>101</v>
      </c>
      <c r="B62" s="27" t="str">
        <f>VLOOKUP(LEFT(Table1[[#This Row],[PD]],1),CLPCode,2,FALSE)</f>
        <v>East</v>
      </c>
      <c r="C62" s="8" t="s">
        <v>85</v>
      </c>
      <c r="D62" s="9">
        <v>2866</v>
      </c>
      <c r="E62" s="43">
        <f>Table1[[#This Row],[2025]]-$D$116</f>
        <v>1020.5446428571429</v>
      </c>
      <c r="F62" s="43">
        <f>SIGN(Table1[[#This Row],[diff from mean]])</f>
        <v>1</v>
      </c>
      <c r="G62" s="28">
        <v>11</v>
      </c>
    </row>
    <row r="63" spans="1:7" ht="15.75" x14ac:dyDescent="0.25">
      <c r="A63" s="27" t="s">
        <v>102</v>
      </c>
      <c r="B63" s="27" t="str">
        <f>VLOOKUP(LEFT(Table1[[#This Row],[PD]],1),CLPCode,2,FALSE)</f>
        <v>East</v>
      </c>
      <c r="C63" s="8" t="s">
        <v>85</v>
      </c>
      <c r="D63" s="9">
        <v>2013</v>
      </c>
      <c r="E63" s="43">
        <f>Table1[[#This Row],[2025]]-$D$116</f>
        <v>167.54464285714289</v>
      </c>
      <c r="F63" s="43">
        <f>SIGN(Table1[[#This Row],[diff from mean]])</f>
        <v>1</v>
      </c>
      <c r="G63" s="28">
        <v>11</v>
      </c>
    </row>
    <row r="64" spans="1:7" ht="15.75" x14ac:dyDescent="0.25">
      <c r="A64" s="27" t="s">
        <v>103</v>
      </c>
      <c r="B64" s="27" t="str">
        <f>VLOOKUP(LEFT(Table1[[#This Row],[PD]],1),CLPCode,2,FALSE)</f>
        <v>East</v>
      </c>
      <c r="C64" s="8" t="s">
        <v>85</v>
      </c>
      <c r="D64" s="9">
        <v>2446</v>
      </c>
      <c r="E64" s="43">
        <f>Table1[[#This Row],[2025]]-$D$116</f>
        <v>600.54464285714289</v>
      </c>
      <c r="F64" s="43">
        <f>SIGN(Table1[[#This Row],[diff from mean]])</f>
        <v>1</v>
      </c>
      <c r="G64" s="28">
        <v>11</v>
      </c>
    </row>
    <row r="65" spans="1:7" ht="15.75" x14ac:dyDescent="0.25">
      <c r="A65" s="27" t="s">
        <v>104</v>
      </c>
      <c r="B65" s="27" t="str">
        <f>VLOOKUP(LEFT(Table1[[#This Row],[PD]],1),CLPCode,2,FALSE)</f>
        <v>East</v>
      </c>
      <c r="C65" s="8" t="s">
        <v>85</v>
      </c>
      <c r="D65" s="9">
        <v>1802</v>
      </c>
      <c r="E65" s="43">
        <f>Table1[[#This Row],[2025]]-$D$116</f>
        <v>-43.45535714285711</v>
      </c>
      <c r="F65" s="43">
        <f>SIGN(Table1[[#This Row],[diff from mean]])</f>
        <v>-1</v>
      </c>
      <c r="G65" s="28">
        <v>11</v>
      </c>
    </row>
    <row r="66" spans="1:7" ht="15.75" x14ac:dyDescent="0.25">
      <c r="A66" s="27" t="s">
        <v>105</v>
      </c>
      <c r="B66" s="27" t="str">
        <f>VLOOKUP(LEFT(Table1[[#This Row],[PD]],1),CLPCode,2,FALSE)</f>
        <v>Deptford</v>
      </c>
      <c r="C66" s="8" t="s">
        <v>66</v>
      </c>
      <c r="D66" s="9">
        <v>1674</v>
      </c>
      <c r="E66" s="43">
        <f>Table1[[#This Row],[2025]]-$D$116</f>
        <v>-171.45535714285711</v>
      </c>
      <c r="F66" s="43">
        <f>SIGN(Table1[[#This Row],[diff from mean]])</f>
        <v>-1</v>
      </c>
      <c r="G66" s="28">
        <v>11</v>
      </c>
    </row>
    <row r="67" spans="1:7" ht="15.75" x14ac:dyDescent="0.2">
      <c r="A67" s="27" t="s">
        <v>84</v>
      </c>
      <c r="B67" s="27" t="str">
        <f>VLOOKUP(LEFT(Table1[[#This Row],[PD]],1),CLPCode,2,FALSE)</f>
        <v>East</v>
      </c>
      <c r="C67" s="8" t="s">
        <v>85</v>
      </c>
      <c r="D67" s="15">
        <v>20</v>
      </c>
      <c r="E67" s="43">
        <f>Table1[[#This Row],[2025]]-$D$116</f>
        <v>-1825.4553571428571</v>
      </c>
      <c r="F67" s="43">
        <f>SIGN(Table1[[#This Row],[diff from mean]])</f>
        <v>-1</v>
      </c>
      <c r="G67" s="29">
        <v>11</v>
      </c>
    </row>
    <row r="68" spans="1:7" ht="15.75" x14ac:dyDescent="0.25">
      <c r="A68" s="27" t="s">
        <v>106</v>
      </c>
      <c r="B68" s="27" t="str">
        <f>VLOOKUP(LEFT(Table1[[#This Row],[PD]],1),CLPCode,2,FALSE)</f>
        <v>East</v>
      </c>
      <c r="C68" s="8" t="s">
        <v>96</v>
      </c>
      <c r="D68" s="9">
        <v>1468</v>
      </c>
      <c r="E68" s="43">
        <f>Table1[[#This Row],[2025]]-$D$116</f>
        <v>-377.45535714285711</v>
      </c>
      <c r="F68" s="43">
        <f>SIGN(Table1[[#This Row],[diff from mean]])</f>
        <v>-1</v>
      </c>
      <c r="G68" s="28">
        <v>12</v>
      </c>
    </row>
    <row r="69" spans="1:7" ht="15.75" x14ac:dyDescent="0.25">
      <c r="A69" s="27" t="s">
        <v>107</v>
      </c>
      <c r="B69" s="27" t="str">
        <f>VLOOKUP(LEFT(Table1[[#This Row],[PD]],1),CLPCode,2,FALSE)</f>
        <v>East</v>
      </c>
      <c r="C69" s="8" t="s">
        <v>96</v>
      </c>
      <c r="D69" s="9">
        <v>2069</v>
      </c>
      <c r="E69" s="43">
        <f>Table1[[#This Row],[2025]]-$D$116</f>
        <v>223.54464285714289</v>
      </c>
      <c r="F69" s="43">
        <f>SIGN(Table1[[#This Row],[diff from mean]])</f>
        <v>1</v>
      </c>
      <c r="G69" s="28">
        <v>12</v>
      </c>
    </row>
    <row r="70" spans="1:7" ht="15.75" x14ac:dyDescent="0.25">
      <c r="A70" s="27" t="s">
        <v>108</v>
      </c>
      <c r="B70" s="27" t="str">
        <f>VLOOKUP(LEFT(Table1[[#This Row],[PD]],1),CLPCode,2,FALSE)</f>
        <v>East</v>
      </c>
      <c r="C70" s="8" t="s">
        <v>96</v>
      </c>
      <c r="D70" s="9">
        <v>1671</v>
      </c>
      <c r="E70" s="43">
        <f>Table1[[#This Row],[2025]]-$D$116</f>
        <v>-174.45535714285711</v>
      </c>
      <c r="F70" s="43">
        <f>SIGN(Table1[[#This Row],[diff from mean]])</f>
        <v>-1</v>
      </c>
      <c r="G70" s="28">
        <v>12</v>
      </c>
    </row>
    <row r="71" spans="1:7" ht="15.75" x14ac:dyDescent="0.25">
      <c r="A71" s="27" t="s">
        <v>109</v>
      </c>
      <c r="B71" s="27" t="str">
        <f>VLOOKUP(LEFT(Table1[[#This Row],[PD]],1),CLPCode,2,FALSE)</f>
        <v>East</v>
      </c>
      <c r="C71" s="8" t="s">
        <v>96</v>
      </c>
      <c r="D71" s="9">
        <v>1935</v>
      </c>
      <c r="E71" s="43">
        <f>Table1[[#This Row],[2025]]-$D$116</f>
        <v>89.54464285714289</v>
      </c>
      <c r="F71" s="43">
        <f>SIGN(Table1[[#This Row],[diff from mean]])</f>
        <v>1</v>
      </c>
      <c r="G71" s="28">
        <v>12</v>
      </c>
    </row>
    <row r="72" spans="1:7" ht="15.75" x14ac:dyDescent="0.25">
      <c r="A72" s="27" t="s">
        <v>110</v>
      </c>
      <c r="B72" s="27" t="str">
        <f>VLOOKUP(LEFT(Table1[[#This Row],[PD]],1),CLPCode,2,FALSE)</f>
        <v>East</v>
      </c>
      <c r="C72" s="8" t="s">
        <v>99</v>
      </c>
      <c r="D72" s="9">
        <v>1649</v>
      </c>
      <c r="E72" s="43">
        <f>Table1[[#This Row],[2025]]-$D$116</f>
        <v>-196.45535714285711</v>
      </c>
      <c r="F72" s="43">
        <f>SIGN(Table1[[#This Row],[diff from mean]])</f>
        <v>-1</v>
      </c>
      <c r="G72" s="28">
        <v>12</v>
      </c>
    </row>
    <row r="73" spans="1:7" ht="15.75" x14ac:dyDescent="0.25">
      <c r="A73" s="27" t="s">
        <v>111</v>
      </c>
      <c r="B73" s="27" t="str">
        <f>VLOOKUP(LEFT(Table1[[#This Row],[PD]],1),CLPCode,2,FALSE)</f>
        <v>East</v>
      </c>
      <c r="C73" s="8" t="s">
        <v>99</v>
      </c>
      <c r="D73" s="9">
        <v>2283</v>
      </c>
      <c r="E73" s="43">
        <f>Table1[[#This Row],[2025]]-$D$116</f>
        <v>437.54464285714289</v>
      </c>
      <c r="F73" s="43">
        <f>SIGN(Table1[[#This Row],[diff from mean]])</f>
        <v>1</v>
      </c>
      <c r="G73" s="28">
        <v>12</v>
      </c>
    </row>
    <row r="74" spans="1:7" ht="15.75" x14ac:dyDescent="0.25">
      <c r="A74" s="27" t="s">
        <v>112</v>
      </c>
      <c r="B74" s="27" t="str">
        <f>VLOOKUP(LEFT(Table1[[#This Row],[PD]],1),CLPCode,2,FALSE)</f>
        <v>East</v>
      </c>
      <c r="C74" s="8" t="s">
        <v>37</v>
      </c>
      <c r="D74" s="9">
        <v>1652</v>
      </c>
      <c r="E74" s="43">
        <f>Table1[[#This Row],[2025]]-$D$116</f>
        <v>-193.45535714285711</v>
      </c>
      <c r="F74" s="43">
        <f>SIGN(Table1[[#This Row],[diff from mean]])</f>
        <v>-1</v>
      </c>
      <c r="G74" s="28">
        <v>13</v>
      </c>
    </row>
    <row r="75" spans="1:7" ht="15.75" x14ac:dyDescent="0.25">
      <c r="A75" s="27" t="s">
        <v>113</v>
      </c>
      <c r="B75" s="27" t="str">
        <f>VLOOKUP(LEFT(Table1[[#This Row],[PD]],1),CLPCode,2,FALSE)</f>
        <v>East</v>
      </c>
      <c r="C75" s="8" t="s">
        <v>37</v>
      </c>
      <c r="D75" s="9">
        <v>1426</v>
      </c>
      <c r="E75" s="43">
        <f>Table1[[#This Row],[2025]]-$D$116</f>
        <v>-419.45535714285711</v>
      </c>
      <c r="F75" s="43">
        <f>SIGN(Table1[[#This Row],[diff from mean]])</f>
        <v>-1</v>
      </c>
      <c r="G75" s="28">
        <v>13</v>
      </c>
    </row>
    <row r="76" spans="1:7" ht="15.75" x14ac:dyDescent="0.25">
      <c r="A76" s="27" t="s">
        <v>114</v>
      </c>
      <c r="B76" s="27" t="str">
        <f>VLOOKUP(LEFT(Table1[[#This Row],[PD]],1),CLPCode,2,FALSE)</f>
        <v>East</v>
      </c>
      <c r="C76" s="8" t="s">
        <v>37</v>
      </c>
      <c r="D76" s="9">
        <v>1945</v>
      </c>
      <c r="E76" s="43">
        <f>Table1[[#This Row],[2025]]-$D$116</f>
        <v>99.54464285714289</v>
      </c>
      <c r="F76" s="43">
        <f>SIGN(Table1[[#This Row],[diff from mean]])</f>
        <v>1</v>
      </c>
      <c r="G76" s="28">
        <v>13</v>
      </c>
    </row>
    <row r="77" spans="1:7" ht="15.75" x14ac:dyDescent="0.25">
      <c r="A77" s="27" t="s">
        <v>115</v>
      </c>
      <c r="B77" s="27" t="str">
        <f>VLOOKUP(LEFT(Table1[[#This Row],[PD]],1),CLPCode,2,FALSE)</f>
        <v>East</v>
      </c>
      <c r="C77" s="8" t="s">
        <v>37</v>
      </c>
      <c r="D77" s="9">
        <v>2335</v>
      </c>
      <c r="E77" s="43">
        <f>Table1[[#This Row],[2025]]-$D$116</f>
        <v>489.54464285714289</v>
      </c>
      <c r="F77" s="43">
        <f>SIGN(Table1[[#This Row],[diff from mean]])</f>
        <v>1</v>
      </c>
      <c r="G77" s="28">
        <v>13</v>
      </c>
    </row>
    <row r="78" spans="1:7" ht="15.75" x14ac:dyDescent="0.25">
      <c r="A78" s="27" t="s">
        <v>116</v>
      </c>
      <c r="B78" s="27" t="str">
        <f>VLOOKUP(LEFT(Table1[[#This Row],[PD]],1),CLPCode,2,FALSE)</f>
        <v>East</v>
      </c>
      <c r="C78" s="8" t="s">
        <v>37</v>
      </c>
      <c r="D78" s="9">
        <v>1244</v>
      </c>
      <c r="E78" s="43">
        <f>Table1[[#This Row],[2025]]-$D$116</f>
        <v>-601.45535714285711</v>
      </c>
      <c r="F78" s="43">
        <f>SIGN(Table1[[#This Row],[diff from mean]])</f>
        <v>-1</v>
      </c>
      <c r="G78" s="28">
        <v>13</v>
      </c>
    </row>
    <row r="79" spans="1:7" ht="15.75" x14ac:dyDescent="0.25">
      <c r="A79" s="27" t="s">
        <v>117</v>
      </c>
      <c r="B79" s="27" t="str">
        <f>VLOOKUP(LEFT(Table1[[#This Row],[PD]],1),CLPCode,2,FALSE)</f>
        <v>East</v>
      </c>
      <c r="C79" s="8" t="s">
        <v>37</v>
      </c>
      <c r="D79" s="9">
        <v>1724</v>
      </c>
      <c r="E79" s="43">
        <f>Table1[[#This Row],[2025]]-$D$116</f>
        <v>-121.45535714285711</v>
      </c>
      <c r="F79" s="43">
        <f>SIGN(Table1[[#This Row],[diff from mean]])</f>
        <v>-1</v>
      </c>
      <c r="G79" s="28">
        <v>13</v>
      </c>
    </row>
    <row r="80" spans="1:7" ht="15.75" x14ac:dyDescent="0.25">
      <c r="A80" s="27" t="s">
        <v>118</v>
      </c>
      <c r="B80" s="27" t="str">
        <f>VLOOKUP(LEFT(Table1[[#This Row],[PD]],1),CLPCode,2,FALSE)</f>
        <v>East</v>
      </c>
      <c r="C80" s="8" t="s">
        <v>119</v>
      </c>
      <c r="D80" s="9">
        <v>1226</v>
      </c>
      <c r="E80" s="43">
        <f>Table1[[#This Row],[2025]]-$D$116</f>
        <v>-619.45535714285711</v>
      </c>
      <c r="F80" s="43">
        <f>SIGN(Table1[[#This Row],[diff from mean]])</f>
        <v>-1</v>
      </c>
      <c r="G80" s="28">
        <v>14</v>
      </c>
    </row>
    <row r="81" spans="1:7" ht="15.75" x14ac:dyDescent="0.25">
      <c r="A81" s="27" t="s">
        <v>120</v>
      </c>
      <c r="B81" s="27" t="str">
        <f>VLOOKUP(LEFT(Table1[[#This Row],[PD]],1),CLPCode,2,FALSE)</f>
        <v>East</v>
      </c>
      <c r="C81" s="8" t="s">
        <v>119</v>
      </c>
      <c r="D81" s="9">
        <v>1668</v>
      </c>
      <c r="E81" s="43">
        <f>Table1[[#This Row],[2025]]-$D$116</f>
        <v>-177.45535714285711</v>
      </c>
      <c r="F81" s="43">
        <f>SIGN(Table1[[#This Row],[diff from mean]])</f>
        <v>-1</v>
      </c>
      <c r="G81" s="28">
        <v>14</v>
      </c>
    </row>
    <row r="82" spans="1:7" ht="15.75" x14ac:dyDescent="0.25">
      <c r="A82" s="27" t="s">
        <v>121</v>
      </c>
      <c r="B82" s="27" t="str">
        <f>VLOOKUP(LEFT(Table1[[#This Row],[PD]],1),CLPCode,2,FALSE)</f>
        <v>East</v>
      </c>
      <c r="C82" s="8" t="s">
        <v>119</v>
      </c>
      <c r="D82" s="9">
        <v>2088</v>
      </c>
      <c r="E82" s="43">
        <f>Table1[[#This Row],[2025]]-$D$116</f>
        <v>242.54464285714289</v>
      </c>
      <c r="F82" s="43">
        <f>SIGN(Table1[[#This Row],[diff from mean]])</f>
        <v>1</v>
      </c>
      <c r="G82" s="28">
        <v>14</v>
      </c>
    </row>
    <row r="83" spans="1:7" ht="15.75" x14ac:dyDescent="0.25">
      <c r="A83" s="27" t="s">
        <v>122</v>
      </c>
      <c r="B83" s="27" t="str">
        <f>VLOOKUP(LEFT(Table1[[#This Row],[PD]],1),CLPCode,2,FALSE)</f>
        <v>East</v>
      </c>
      <c r="C83" s="8" t="s">
        <v>119</v>
      </c>
      <c r="D83" s="9">
        <v>2595</v>
      </c>
      <c r="E83" s="43">
        <f>Table1[[#This Row],[2025]]-$D$116</f>
        <v>749.54464285714289</v>
      </c>
      <c r="F83" s="43">
        <f>SIGN(Table1[[#This Row],[diff from mean]])</f>
        <v>1</v>
      </c>
      <c r="G83" s="28">
        <v>14</v>
      </c>
    </row>
    <row r="84" spans="1:7" ht="15.75" x14ac:dyDescent="0.25">
      <c r="A84" s="27" t="s">
        <v>123</v>
      </c>
      <c r="B84" s="27" t="str">
        <f>VLOOKUP(LEFT(Table1[[#This Row],[PD]],1),CLPCode,2,FALSE)</f>
        <v>East</v>
      </c>
      <c r="C84" s="8" t="s">
        <v>119</v>
      </c>
      <c r="D84" s="9">
        <v>1150</v>
      </c>
      <c r="E84" s="43">
        <f>Table1[[#This Row],[2025]]-$D$116</f>
        <v>-695.45535714285711</v>
      </c>
      <c r="F84" s="43">
        <f>SIGN(Table1[[#This Row],[diff from mean]])</f>
        <v>-1</v>
      </c>
      <c r="G84" s="28">
        <v>14</v>
      </c>
    </row>
    <row r="85" spans="1:7" ht="15.75" x14ac:dyDescent="0.25">
      <c r="A85" s="27" t="s">
        <v>124</v>
      </c>
      <c r="B85" s="27" t="str">
        <f>VLOOKUP(LEFT(Table1[[#This Row],[PD]],1),CLPCode,2,FALSE)</f>
        <v>East</v>
      </c>
      <c r="C85" s="8" t="s">
        <v>99</v>
      </c>
      <c r="D85" s="9">
        <v>1308</v>
      </c>
      <c r="E85" s="43">
        <f>Table1[[#This Row],[2025]]-$D$116</f>
        <v>-537.45535714285711</v>
      </c>
      <c r="F85" s="43">
        <f>SIGN(Table1[[#This Row],[diff from mean]])</f>
        <v>-1</v>
      </c>
      <c r="G85" s="28">
        <v>14</v>
      </c>
    </row>
    <row r="86" spans="1:7" ht="15.75" x14ac:dyDescent="0.25">
      <c r="A86" s="27" t="s">
        <v>125</v>
      </c>
      <c r="B86" s="27" t="str">
        <f>VLOOKUP(LEFT(Table1[[#This Row],[PD]],1),CLPCode,2,FALSE)</f>
        <v>East</v>
      </c>
      <c r="C86" s="8" t="s">
        <v>99</v>
      </c>
      <c r="D86" s="9">
        <v>1237</v>
      </c>
      <c r="E86" s="43">
        <f>Table1[[#This Row],[2025]]-$D$116</f>
        <v>-608.45535714285711</v>
      </c>
      <c r="F86" s="43">
        <f>SIGN(Table1[[#This Row],[diff from mean]])</f>
        <v>-1</v>
      </c>
      <c r="G86" s="28">
        <v>14</v>
      </c>
    </row>
    <row r="87" spans="1:7" ht="15.75" x14ac:dyDescent="0.25">
      <c r="A87" s="27" t="s">
        <v>126</v>
      </c>
      <c r="B87" s="27" t="str">
        <f>VLOOKUP(LEFT(Table1[[#This Row],[PD]],1),CLPCode,2,FALSE)</f>
        <v>East</v>
      </c>
      <c r="C87" s="8" t="s">
        <v>119</v>
      </c>
      <c r="D87" s="9">
        <v>1699</v>
      </c>
      <c r="E87" s="43">
        <f>Table1[[#This Row],[2025]]-$D$116</f>
        <v>-146.45535714285711</v>
      </c>
      <c r="F87" s="43">
        <f>SIGN(Table1[[#This Row],[diff from mean]])</f>
        <v>-1</v>
      </c>
      <c r="G87" s="28">
        <v>15</v>
      </c>
    </row>
    <row r="88" spans="1:7" ht="15.75" x14ac:dyDescent="0.25">
      <c r="A88" s="27" t="s">
        <v>127</v>
      </c>
      <c r="B88" s="27" t="str">
        <f>VLOOKUP(LEFT(Table1[[#This Row],[PD]],1),CLPCode,2,FALSE)</f>
        <v>West &amp; Penge</v>
      </c>
      <c r="C88" s="8" t="s">
        <v>128</v>
      </c>
      <c r="D88" s="9">
        <v>1979</v>
      </c>
      <c r="E88" s="43">
        <f>Table1[[#This Row],[2025]]-$D$116</f>
        <v>133.54464285714289</v>
      </c>
      <c r="F88" s="43">
        <f>SIGN(Table1[[#This Row],[diff from mean]])</f>
        <v>1</v>
      </c>
      <c r="G88" s="28">
        <v>15</v>
      </c>
    </row>
    <row r="89" spans="1:7" ht="15.75" x14ac:dyDescent="0.25">
      <c r="A89" s="27" t="s">
        <v>129</v>
      </c>
      <c r="B89" s="27" t="str">
        <f>VLOOKUP(LEFT(Table1[[#This Row],[PD]],1),CLPCode,2,FALSE)</f>
        <v>West &amp; Penge</v>
      </c>
      <c r="C89" s="8" t="s">
        <v>128</v>
      </c>
      <c r="D89" s="9">
        <v>2226</v>
      </c>
      <c r="E89" s="43">
        <f>Table1[[#This Row],[2025]]-$D$116</f>
        <v>380.54464285714289</v>
      </c>
      <c r="F89" s="43">
        <f>SIGN(Table1[[#This Row],[diff from mean]])</f>
        <v>1</v>
      </c>
      <c r="G89" s="28">
        <v>15</v>
      </c>
    </row>
    <row r="90" spans="1:7" ht="15.75" x14ac:dyDescent="0.25">
      <c r="A90" s="27" t="s">
        <v>130</v>
      </c>
      <c r="B90" s="27" t="str">
        <f>VLOOKUP(LEFT(Table1[[#This Row],[PD]],1),CLPCode,2,FALSE)</f>
        <v>West &amp; Penge</v>
      </c>
      <c r="C90" s="8" t="s">
        <v>128</v>
      </c>
      <c r="D90" s="9">
        <v>1528</v>
      </c>
      <c r="E90" s="43">
        <f>Table1[[#This Row],[2025]]-$D$116</f>
        <v>-317.45535714285711</v>
      </c>
      <c r="F90" s="43">
        <f>SIGN(Table1[[#This Row],[diff from mean]])</f>
        <v>-1</v>
      </c>
      <c r="G90" s="28">
        <v>15</v>
      </c>
    </row>
    <row r="91" spans="1:7" ht="15.75" x14ac:dyDescent="0.25">
      <c r="A91" s="27" t="s">
        <v>131</v>
      </c>
      <c r="B91" s="27" t="str">
        <f>VLOOKUP(LEFT(Table1[[#This Row],[PD]],1),CLPCode,2,FALSE)</f>
        <v>West &amp; Penge</v>
      </c>
      <c r="C91" s="8" t="s">
        <v>128</v>
      </c>
      <c r="D91" s="9">
        <v>1608</v>
      </c>
      <c r="E91" s="43">
        <f>Table1[[#This Row],[2025]]-$D$116</f>
        <v>-237.45535714285711</v>
      </c>
      <c r="F91" s="43">
        <f>SIGN(Table1[[#This Row],[diff from mean]])</f>
        <v>-1</v>
      </c>
      <c r="G91" s="28">
        <v>15</v>
      </c>
    </row>
    <row r="92" spans="1:7" ht="15.75" x14ac:dyDescent="0.25">
      <c r="A92" s="27" t="s">
        <v>132</v>
      </c>
      <c r="B92" s="27" t="str">
        <f>VLOOKUP(LEFT(Table1[[#This Row],[PD]],1),CLPCode,2,FALSE)</f>
        <v>West &amp; Penge</v>
      </c>
      <c r="C92" s="8" t="s">
        <v>128</v>
      </c>
      <c r="D92" s="9">
        <v>1249</v>
      </c>
      <c r="E92" s="43">
        <f>Table1[[#This Row],[2025]]-$D$116</f>
        <v>-596.45535714285711</v>
      </c>
      <c r="F92" s="43">
        <f>SIGN(Table1[[#This Row],[diff from mean]])</f>
        <v>-1</v>
      </c>
      <c r="G92" s="28">
        <v>15</v>
      </c>
    </row>
    <row r="93" spans="1:7" ht="15.75" x14ac:dyDescent="0.25">
      <c r="A93" s="27" t="s">
        <v>133</v>
      </c>
      <c r="B93" s="27" t="str">
        <f>VLOOKUP(LEFT(Table1[[#This Row],[PD]],1),CLPCode,2,FALSE)</f>
        <v>West &amp; Penge</v>
      </c>
      <c r="C93" s="8" t="s">
        <v>128</v>
      </c>
      <c r="D93" s="9">
        <v>1663</v>
      </c>
      <c r="E93" s="43">
        <f>Table1[[#This Row],[2025]]-$D$116</f>
        <v>-182.45535714285711</v>
      </c>
      <c r="F93" s="43">
        <f>SIGN(Table1[[#This Row],[diff from mean]])</f>
        <v>-1</v>
      </c>
      <c r="G93" s="28">
        <v>15</v>
      </c>
    </row>
    <row r="94" spans="1:7" ht="15.75" x14ac:dyDescent="0.25">
      <c r="A94" s="27" t="s">
        <v>134</v>
      </c>
      <c r="B94" s="27" t="str">
        <f>VLOOKUP(LEFT(Table1[[#This Row],[PD]],1),CLPCode,2,FALSE)</f>
        <v>West &amp; Penge</v>
      </c>
      <c r="C94" s="8" t="s">
        <v>135</v>
      </c>
      <c r="D94" s="9">
        <v>2313</v>
      </c>
      <c r="E94" s="43">
        <f>Table1[[#This Row],[2025]]-$D$116</f>
        <v>467.54464285714289</v>
      </c>
      <c r="F94" s="43">
        <f>SIGN(Table1[[#This Row],[diff from mean]])</f>
        <v>1</v>
      </c>
      <c r="G94" s="28">
        <v>18</v>
      </c>
    </row>
    <row r="95" spans="1:7" ht="15.75" x14ac:dyDescent="0.25">
      <c r="A95" s="27" t="s">
        <v>136</v>
      </c>
      <c r="B95" s="27" t="str">
        <f>VLOOKUP(LEFT(Table1[[#This Row],[PD]],1),CLPCode,2,FALSE)</f>
        <v>West &amp; Penge</v>
      </c>
      <c r="C95" s="8" t="s">
        <v>135</v>
      </c>
      <c r="D95" s="9">
        <v>1530</v>
      </c>
      <c r="E95" s="43">
        <f>Table1[[#This Row],[2025]]-$D$116</f>
        <v>-315.45535714285711</v>
      </c>
      <c r="F95" s="43">
        <f>SIGN(Table1[[#This Row],[diff from mean]])</f>
        <v>-1</v>
      </c>
      <c r="G95" s="28">
        <v>18</v>
      </c>
    </row>
    <row r="96" spans="1:7" ht="15.75" x14ac:dyDescent="0.25">
      <c r="A96" s="27" t="s">
        <v>137</v>
      </c>
      <c r="B96" s="27" t="str">
        <f>VLOOKUP(LEFT(Table1[[#This Row],[PD]],1),CLPCode,2,FALSE)</f>
        <v>West &amp; Penge</v>
      </c>
      <c r="C96" s="8" t="s">
        <v>135</v>
      </c>
      <c r="D96" s="9">
        <v>1950</v>
      </c>
      <c r="E96" s="43">
        <f>Table1[[#This Row],[2025]]-$D$116</f>
        <v>104.54464285714289</v>
      </c>
      <c r="F96" s="43">
        <f>SIGN(Table1[[#This Row],[diff from mean]])</f>
        <v>1</v>
      </c>
      <c r="G96" s="28">
        <v>18</v>
      </c>
    </row>
    <row r="97" spans="1:7" ht="15.75" x14ac:dyDescent="0.25">
      <c r="A97" s="27" t="s">
        <v>138</v>
      </c>
      <c r="B97" s="27" t="str">
        <f>VLOOKUP(LEFT(Table1[[#This Row],[PD]],1),CLPCode,2,FALSE)</f>
        <v>West &amp; Penge</v>
      </c>
      <c r="C97" s="8" t="s">
        <v>135</v>
      </c>
      <c r="D97" s="9">
        <v>1502</v>
      </c>
      <c r="E97" s="43">
        <f>Table1[[#This Row],[2025]]-$D$116</f>
        <v>-343.45535714285711</v>
      </c>
      <c r="F97" s="43">
        <f>SIGN(Table1[[#This Row],[diff from mean]])</f>
        <v>-1</v>
      </c>
      <c r="G97" s="28">
        <v>18</v>
      </c>
    </row>
    <row r="98" spans="1:7" ht="15.75" x14ac:dyDescent="0.25">
      <c r="A98" s="27" t="s">
        <v>139</v>
      </c>
      <c r="B98" s="27" t="str">
        <f>VLOOKUP(LEFT(Table1[[#This Row],[PD]],1),CLPCode,2,FALSE)</f>
        <v>West &amp; Penge</v>
      </c>
      <c r="C98" s="8" t="s">
        <v>135</v>
      </c>
      <c r="D98" s="9">
        <v>1825</v>
      </c>
      <c r="E98" s="43">
        <f>Table1[[#This Row],[2025]]-$D$116</f>
        <v>-20.45535714285711</v>
      </c>
      <c r="F98" s="43">
        <f>SIGN(Table1[[#This Row],[diff from mean]])</f>
        <v>-1</v>
      </c>
      <c r="G98" s="28">
        <v>18</v>
      </c>
    </row>
    <row r="99" spans="1:7" ht="15.75" x14ac:dyDescent="0.25">
      <c r="A99" s="27" t="s">
        <v>140</v>
      </c>
      <c r="B99" s="27" t="str">
        <f>VLOOKUP(LEFT(Table1[[#This Row],[PD]],1),CLPCode,2,FALSE)</f>
        <v>West &amp; Penge</v>
      </c>
      <c r="C99" s="8" t="s">
        <v>135</v>
      </c>
      <c r="D99" s="9">
        <v>607</v>
      </c>
      <c r="E99" s="43">
        <f>Table1[[#This Row],[2025]]-$D$116</f>
        <v>-1238.4553571428571</v>
      </c>
      <c r="F99" s="43">
        <f>SIGN(Table1[[#This Row],[diff from mean]])</f>
        <v>-1</v>
      </c>
      <c r="G99" s="28">
        <v>18</v>
      </c>
    </row>
    <row r="100" spans="1:7" ht="15.75" x14ac:dyDescent="0.25">
      <c r="A100" s="27" t="s">
        <v>141</v>
      </c>
      <c r="B100" s="27" t="str">
        <f>VLOOKUP(LEFT(Table1[[#This Row],[PD]],1),CLPCode,2,FALSE)</f>
        <v>West &amp; Penge</v>
      </c>
      <c r="C100" s="8" t="s">
        <v>135</v>
      </c>
      <c r="D100" s="9">
        <v>1093</v>
      </c>
      <c r="E100" s="43">
        <f>Table1[[#This Row],[2025]]-$D$116</f>
        <v>-752.45535714285711</v>
      </c>
      <c r="F100" s="43">
        <f>SIGN(Table1[[#This Row],[diff from mean]])</f>
        <v>-1</v>
      </c>
      <c r="G100" s="28">
        <v>18</v>
      </c>
    </row>
    <row r="101" spans="1:7" ht="15.75" x14ac:dyDescent="0.25">
      <c r="A101" s="27" t="s">
        <v>142</v>
      </c>
      <c r="B101" s="27" t="str">
        <f>VLOOKUP(LEFT(Table1[[#This Row],[PD]],1),CLPCode,2,FALSE)</f>
        <v>West &amp; Penge</v>
      </c>
      <c r="C101" s="8" t="s">
        <v>143</v>
      </c>
      <c r="D101" s="9">
        <v>2103</v>
      </c>
      <c r="E101" s="43">
        <f>Table1[[#This Row],[2025]]-$D$116</f>
        <v>257.54464285714289</v>
      </c>
      <c r="F101" s="43">
        <f>SIGN(Table1[[#This Row],[diff from mean]])</f>
        <v>1</v>
      </c>
      <c r="G101" s="28">
        <v>17</v>
      </c>
    </row>
    <row r="102" spans="1:7" ht="15.75" x14ac:dyDescent="0.25">
      <c r="A102" s="27" t="s">
        <v>144</v>
      </c>
      <c r="B102" s="27" t="str">
        <f>VLOOKUP(LEFT(Table1[[#This Row],[PD]],1),CLPCode,2,FALSE)</f>
        <v>West &amp; Penge</v>
      </c>
      <c r="C102" s="8" t="s">
        <v>143</v>
      </c>
      <c r="D102" s="9">
        <v>2021</v>
      </c>
      <c r="E102" s="43">
        <f>Table1[[#This Row],[2025]]-$D$116</f>
        <v>175.54464285714289</v>
      </c>
      <c r="F102" s="43">
        <f>SIGN(Table1[[#This Row],[diff from mean]])</f>
        <v>1</v>
      </c>
      <c r="G102" s="28">
        <v>17</v>
      </c>
    </row>
    <row r="103" spans="1:7" ht="15.75" x14ac:dyDescent="0.25">
      <c r="A103" s="27" t="s">
        <v>145</v>
      </c>
      <c r="B103" s="27" t="str">
        <f>VLOOKUP(LEFT(Table1[[#This Row],[PD]],1),CLPCode,2,FALSE)</f>
        <v>West &amp; Penge</v>
      </c>
      <c r="C103" s="8" t="s">
        <v>143</v>
      </c>
      <c r="D103" s="9">
        <v>1590</v>
      </c>
      <c r="E103" s="43">
        <f>Table1[[#This Row],[2025]]-$D$116</f>
        <v>-255.45535714285711</v>
      </c>
      <c r="F103" s="43">
        <f>SIGN(Table1[[#This Row],[diff from mean]])</f>
        <v>-1</v>
      </c>
      <c r="G103" s="28">
        <v>17</v>
      </c>
    </row>
    <row r="104" spans="1:7" ht="15.75" x14ac:dyDescent="0.25">
      <c r="A104" s="27" t="s">
        <v>146</v>
      </c>
      <c r="B104" s="27" t="str">
        <f>VLOOKUP(LEFT(Table1[[#This Row],[PD]],1),CLPCode,2,FALSE)</f>
        <v>West &amp; Penge</v>
      </c>
      <c r="C104" s="8" t="s">
        <v>143</v>
      </c>
      <c r="D104" s="9">
        <v>1706</v>
      </c>
      <c r="E104" s="43">
        <f>Table1[[#This Row],[2025]]-$D$116</f>
        <v>-139.45535714285711</v>
      </c>
      <c r="F104" s="43">
        <f>SIGN(Table1[[#This Row],[diff from mean]])</f>
        <v>-1</v>
      </c>
      <c r="G104" s="28">
        <v>17</v>
      </c>
    </row>
    <row r="105" spans="1:7" ht="15.75" x14ac:dyDescent="0.25">
      <c r="A105" s="27" t="s">
        <v>147</v>
      </c>
      <c r="B105" s="27" t="str">
        <f>VLOOKUP(LEFT(Table1[[#This Row],[PD]],1),CLPCode,2,FALSE)</f>
        <v>West &amp; Penge</v>
      </c>
      <c r="C105" s="8" t="s">
        <v>143</v>
      </c>
      <c r="D105" s="9">
        <v>1638</v>
      </c>
      <c r="E105" s="43">
        <f>Table1[[#This Row],[2025]]-$D$116</f>
        <v>-207.45535714285711</v>
      </c>
      <c r="F105" s="43">
        <f>SIGN(Table1[[#This Row],[diff from mean]])</f>
        <v>-1</v>
      </c>
      <c r="G105" s="28">
        <v>17</v>
      </c>
    </row>
    <row r="106" spans="1:7" ht="15.75" x14ac:dyDescent="0.25">
      <c r="A106" s="27" t="s">
        <v>148</v>
      </c>
      <c r="B106" s="27" t="str">
        <f>VLOOKUP(LEFT(Table1[[#This Row],[PD]],1),CLPCode,2,FALSE)</f>
        <v>West &amp; Penge</v>
      </c>
      <c r="C106" s="8" t="s">
        <v>143</v>
      </c>
      <c r="D106" s="9">
        <v>1937</v>
      </c>
      <c r="E106" s="43">
        <f>Table1[[#This Row],[2025]]-$D$116</f>
        <v>91.54464285714289</v>
      </c>
      <c r="F106" s="43">
        <f>SIGN(Table1[[#This Row],[diff from mean]])</f>
        <v>1</v>
      </c>
      <c r="G106" s="28">
        <v>17</v>
      </c>
    </row>
    <row r="107" spans="1:7" ht="15.75" x14ac:dyDescent="0.25">
      <c r="A107" s="27" t="s">
        <v>149</v>
      </c>
      <c r="B107" s="27" t="str">
        <f>VLOOKUP(LEFT(Table1[[#This Row],[PD]],1),CLPCode,2,FALSE)</f>
        <v>West &amp; Penge</v>
      </c>
      <c r="C107" s="8" t="s">
        <v>42</v>
      </c>
      <c r="D107" s="9">
        <v>1385</v>
      </c>
      <c r="E107" s="43">
        <f>Table1[[#This Row],[2025]]-$D$116</f>
        <v>-460.45535714285711</v>
      </c>
      <c r="F107" s="43">
        <f>SIGN(Table1[[#This Row],[diff from mean]])</f>
        <v>-1</v>
      </c>
      <c r="G107" s="28">
        <v>16</v>
      </c>
    </row>
    <row r="108" spans="1:7" ht="15.75" x14ac:dyDescent="0.25">
      <c r="A108" s="27" t="s">
        <v>150</v>
      </c>
      <c r="B108" s="27" t="str">
        <f>VLOOKUP(LEFT(Table1[[#This Row],[PD]],1),CLPCode,2,FALSE)</f>
        <v>West &amp; Penge</v>
      </c>
      <c r="C108" s="8" t="s">
        <v>42</v>
      </c>
      <c r="D108" s="9">
        <v>1647</v>
      </c>
      <c r="E108" s="43">
        <f>Table1[[#This Row],[2025]]-$D$116</f>
        <v>-198.45535714285711</v>
      </c>
      <c r="F108" s="43">
        <f>SIGN(Table1[[#This Row],[diff from mean]])</f>
        <v>-1</v>
      </c>
      <c r="G108" s="28">
        <v>16</v>
      </c>
    </row>
    <row r="109" spans="1:7" ht="15.75" x14ac:dyDescent="0.25">
      <c r="A109" s="27" t="s">
        <v>151</v>
      </c>
      <c r="B109" s="27" t="str">
        <f>VLOOKUP(LEFT(Table1[[#This Row],[PD]],1),CLPCode,2,FALSE)</f>
        <v>West &amp; Penge</v>
      </c>
      <c r="C109" s="8" t="s">
        <v>42</v>
      </c>
      <c r="D109" s="9">
        <v>1262</v>
      </c>
      <c r="E109" s="43">
        <f>Table1[[#This Row],[2025]]-$D$116</f>
        <v>-583.45535714285711</v>
      </c>
      <c r="F109" s="43">
        <f>SIGN(Table1[[#This Row],[diff from mean]])</f>
        <v>-1</v>
      </c>
      <c r="G109" s="28">
        <v>16</v>
      </c>
    </row>
    <row r="110" spans="1:7" ht="15.75" x14ac:dyDescent="0.25">
      <c r="A110" s="27" t="s">
        <v>152</v>
      </c>
      <c r="B110" s="27" t="str">
        <f>VLOOKUP(LEFT(Table1[[#This Row],[PD]],1),CLPCode,2,FALSE)</f>
        <v>West &amp; Penge</v>
      </c>
      <c r="C110" s="8" t="s">
        <v>42</v>
      </c>
      <c r="D110" s="9">
        <v>1466</v>
      </c>
      <c r="E110" s="43">
        <f>Table1[[#This Row],[2025]]-$D$116</f>
        <v>-379.45535714285711</v>
      </c>
      <c r="F110" s="43">
        <f>SIGN(Table1[[#This Row],[diff from mean]])</f>
        <v>-1</v>
      </c>
      <c r="G110" s="28">
        <v>16</v>
      </c>
    </row>
    <row r="111" spans="1:7" ht="15.75" x14ac:dyDescent="0.25">
      <c r="A111" s="27" t="s">
        <v>153</v>
      </c>
      <c r="B111" s="27" t="str">
        <f>VLOOKUP(LEFT(Table1[[#This Row],[PD]],1),CLPCode,2,FALSE)</f>
        <v>West &amp; Penge</v>
      </c>
      <c r="C111" s="8" t="s">
        <v>42</v>
      </c>
      <c r="D111" s="9">
        <v>1896</v>
      </c>
      <c r="E111" s="43">
        <f>Table1[[#This Row],[2025]]-$D$116</f>
        <v>50.54464285714289</v>
      </c>
      <c r="F111" s="43">
        <f>SIGN(Table1[[#This Row],[diff from mean]])</f>
        <v>1</v>
      </c>
      <c r="G111" s="28">
        <v>16</v>
      </c>
    </row>
    <row r="112" spans="1:7" ht="15.75" x14ac:dyDescent="0.25">
      <c r="A112" s="27" t="s">
        <v>154</v>
      </c>
      <c r="B112" s="27" t="str">
        <f>VLOOKUP(LEFT(Table1[[#This Row],[PD]],1),CLPCode,2,FALSE)</f>
        <v>West &amp; Penge</v>
      </c>
      <c r="C112" s="8" t="s">
        <v>42</v>
      </c>
      <c r="D112" s="9">
        <v>1736</v>
      </c>
      <c r="E112" s="43">
        <f>Table1[[#This Row],[2025]]-$D$116</f>
        <v>-109.45535714285711</v>
      </c>
      <c r="F112" s="43">
        <f>SIGN(Table1[[#This Row],[diff from mean]])</f>
        <v>-1</v>
      </c>
      <c r="G112" s="28">
        <v>16</v>
      </c>
    </row>
    <row r="113" spans="1:7" ht="15.75" x14ac:dyDescent="0.25">
      <c r="A113" s="30" t="s">
        <v>155</v>
      </c>
      <c r="B113" s="27" t="str">
        <f>VLOOKUP(LEFT(Table1[[#This Row],[PD]],1),CLPCode,2,FALSE)</f>
        <v>West &amp; Penge</v>
      </c>
      <c r="C113" s="31" t="s">
        <v>42</v>
      </c>
      <c r="D113" s="32">
        <v>1712</v>
      </c>
      <c r="E113" s="44">
        <f>Table1[[#This Row],[2025]]-$D$116</f>
        <v>-133.45535714285711</v>
      </c>
      <c r="F113" s="44">
        <f>SIGN(Table1[[#This Row],[diff from mean]])</f>
        <v>-1</v>
      </c>
      <c r="G113" s="33">
        <v>16</v>
      </c>
    </row>
    <row r="115" spans="1:7" x14ac:dyDescent="0.2">
      <c r="C115" s="22" t="s">
        <v>199</v>
      </c>
      <c r="D115">
        <f>MAX(Table1[2025])</f>
        <v>4314</v>
      </c>
    </row>
    <row r="116" spans="1:7" x14ac:dyDescent="0.2">
      <c r="C116" s="22" t="s">
        <v>200</v>
      </c>
      <c r="D116">
        <f>AVERAGE(Table1[2025])</f>
        <v>1845.4553571428571</v>
      </c>
    </row>
    <row r="117" spans="1:7" x14ac:dyDescent="0.2">
      <c r="C117" s="22" t="s">
        <v>203</v>
      </c>
      <c r="D117">
        <f>MAX(Table1[NEW WARD])</f>
        <v>18</v>
      </c>
    </row>
  </sheetData>
  <phoneticPr fontId="14" type="noConversion"/>
  <conditionalFormatting sqref="F2:F113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ED41-794B-4B00-B9DB-2C9C25CA858F}">
  <dimension ref="A3:D22"/>
  <sheetViews>
    <sheetView workbookViewId="0">
      <selection activeCell="D6" sqref="D6"/>
    </sheetView>
  </sheetViews>
  <sheetFormatPr defaultRowHeight="14.25" x14ac:dyDescent="0.2"/>
  <cols>
    <col min="1" max="1" width="13.125" bestFit="1" customWidth="1"/>
    <col min="2" max="2" width="11.5" bestFit="1" customWidth="1"/>
    <col min="3" max="3" width="15.75" bestFit="1" customWidth="1"/>
  </cols>
  <sheetData>
    <row r="3" spans="1:4" ht="15" x14ac:dyDescent="0.25">
      <c r="A3" s="38" t="s">
        <v>193</v>
      </c>
      <c r="B3" t="s">
        <v>195</v>
      </c>
      <c r="C3" s="40" t="s">
        <v>204</v>
      </c>
    </row>
    <row r="4" spans="1:4" x14ac:dyDescent="0.2">
      <c r="A4" s="39">
        <v>8</v>
      </c>
      <c r="B4" s="45">
        <v>12828</v>
      </c>
      <c r="C4" t="str">
        <f t="shared" ref="C4:C21" si="0">VLOOKUP(A4,newnames,2,FALSE)</f>
        <v>Crofton Park</v>
      </c>
      <c r="D4" s="22" t="s">
        <v>187</v>
      </c>
    </row>
    <row r="5" spans="1:4" x14ac:dyDescent="0.2">
      <c r="A5" s="39">
        <v>3</v>
      </c>
      <c r="B5" s="45">
        <v>12648</v>
      </c>
      <c r="C5" t="str">
        <f t="shared" si="0"/>
        <v>Broadway</v>
      </c>
      <c r="D5" s="22" t="s">
        <v>187</v>
      </c>
    </row>
    <row r="6" spans="1:4" x14ac:dyDescent="0.2">
      <c r="A6" s="39">
        <v>1</v>
      </c>
      <c r="B6" s="45">
        <v>12088</v>
      </c>
      <c r="C6" t="str">
        <f t="shared" si="0"/>
        <v>Evelyn</v>
      </c>
    </row>
    <row r="7" spans="1:4" x14ac:dyDescent="0.2">
      <c r="A7" s="39">
        <v>10</v>
      </c>
      <c r="B7" s="45">
        <v>12038</v>
      </c>
      <c r="C7" t="str">
        <f t="shared" si="0"/>
        <v>Hither Green</v>
      </c>
    </row>
    <row r="8" spans="1:4" x14ac:dyDescent="0.2">
      <c r="A8" s="39">
        <v>2</v>
      </c>
      <c r="B8" s="45">
        <v>11979</v>
      </c>
      <c r="C8" t="str">
        <f t="shared" si="0"/>
        <v>Canal</v>
      </c>
    </row>
    <row r="9" spans="1:4" x14ac:dyDescent="0.2">
      <c r="A9" s="39">
        <v>15</v>
      </c>
      <c r="B9" s="45">
        <v>11952</v>
      </c>
      <c r="C9" t="str">
        <f t="shared" si="0"/>
        <v>Bellingham</v>
      </c>
    </row>
    <row r="10" spans="1:4" x14ac:dyDescent="0.2">
      <c r="A10" s="39">
        <v>4</v>
      </c>
      <c r="B10" s="45">
        <v>11899</v>
      </c>
      <c r="C10" t="str">
        <f t="shared" si="0"/>
        <v>Ladywell</v>
      </c>
    </row>
    <row r="11" spans="1:4" x14ac:dyDescent="0.2">
      <c r="A11" s="39">
        <v>5</v>
      </c>
      <c r="B11" s="45">
        <v>11728</v>
      </c>
      <c r="C11" t="str">
        <f t="shared" si="0"/>
        <v>Telegraph Hill</v>
      </c>
    </row>
    <row r="12" spans="1:4" x14ac:dyDescent="0.2">
      <c r="A12" s="39">
        <v>14</v>
      </c>
      <c r="B12" s="45">
        <v>11272</v>
      </c>
      <c r="C12" t="str">
        <f t="shared" si="0"/>
        <v>Downham</v>
      </c>
    </row>
    <row r="13" spans="1:4" x14ac:dyDescent="0.2">
      <c r="A13" s="39">
        <v>7</v>
      </c>
      <c r="B13" s="45">
        <v>11207</v>
      </c>
      <c r="C13" t="str">
        <f t="shared" si="0"/>
        <v>Blackheath</v>
      </c>
    </row>
    <row r="14" spans="1:4" x14ac:dyDescent="0.2">
      <c r="A14" s="39">
        <v>6</v>
      </c>
      <c r="B14" s="45">
        <v>11193</v>
      </c>
      <c r="C14" t="str">
        <f t="shared" si="0"/>
        <v>Lewisham Central</v>
      </c>
    </row>
    <row r="15" spans="1:4" x14ac:dyDescent="0.2">
      <c r="A15" s="39">
        <v>16</v>
      </c>
      <c r="B15" s="45">
        <v>11104</v>
      </c>
      <c r="C15" t="str">
        <f t="shared" si="0"/>
        <v>Sydenham</v>
      </c>
    </row>
    <row r="16" spans="1:4" x14ac:dyDescent="0.2">
      <c r="A16" s="39">
        <v>12</v>
      </c>
      <c r="B16" s="45">
        <v>11075</v>
      </c>
      <c r="C16" t="str">
        <f t="shared" si="0"/>
        <v>Catford South</v>
      </c>
    </row>
    <row r="17" spans="1:3" x14ac:dyDescent="0.2">
      <c r="A17" s="39">
        <v>17</v>
      </c>
      <c r="B17" s="45">
        <v>10995</v>
      </c>
      <c r="C17" t="str">
        <f t="shared" si="0"/>
        <v>Perryvale</v>
      </c>
    </row>
    <row r="18" spans="1:3" x14ac:dyDescent="0.2">
      <c r="A18" s="39">
        <v>11</v>
      </c>
      <c r="B18" s="45">
        <v>10821</v>
      </c>
      <c r="C18" t="str">
        <f t="shared" si="0"/>
        <v>Rushley Green</v>
      </c>
    </row>
    <row r="19" spans="1:3" x14ac:dyDescent="0.2">
      <c r="A19" s="39">
        <v>18</v>
      </c>
      <c r="B19" s="45">
        <v>10820</v>
      </c>
      <c r="C19" t="str">
        <f t="shared" si="0"/>
        <v>Forrest Hill</v>
      </c>
    </row>
    <row r="20" spans="1:3" x14ac:dyDescent="0.2">
      <c r="A20" s="39">
        <v>9</v>
      </c>
      <c r="B20" s="45">
        <v>10718</v>
      </c>
      <c r="C20" t="str">
        <f t="shared" si="0"/>
        <v>Lee Green</v>
      </c>
    </row>
    <row r="21" spans="1:3" x14ac:dyDescent="0.2">
      <c r="A21" s="39">
        <v>13</v>
      </c>
      <c r="B21" s="45">
        <v>10326</v>
      </c>
      <c r="C21" t="str">
        <f t="shared" si="0"/>
        <v>Grove Park</v>
      </c>
    </row>
    <row r="22" spans="1:3" x14ac:dyDescent="0.2">
      <c r="A22" s="39" t="s">
        <v>194</v>
      </c>
      <c r="B22" s="45">
        <v>206691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B2EC-31B3-4BB9-984F-E89AAC163E55}">
  <dimension ref="A3:F25"/>
  <sheetViews>
    <sheetView tabSelected="1" workbookViewId="0">
      <selection activeCell="C7" sqref="C7"/>
    </sheetView>
  </sheetViews>
  <sheetFormatPr defaultRowHeight="14.25" x14ac:dyDescent="0.2"/>
  <cols>
    <col min="1" max="1" width="19.75" bestFit="1" customWidth="1"/>
    <col min="2" max="2" width="15.75" bestFit="1" customWidth="1"/>
    <col min="3" max="3" width="13.25" bestFit="1" customWidth="1"/>
    <col min="4" max="4" width="10.625" customWidth="1"/>
    <col min="5" max="5" width="12.125" bestFit="1" customWidth="1"/>
  </cols>
  <sheetData>
    <row r="3" spans="1:6" ht="30" x14ac:dyDescent="0.2">
      <c r="A3" s="53" t="s">
        <v>184</v>
      </c>
      <c r="B3" s="53" t="s">
        <v>5</v>
      </c>
      <c r="C3" s="54" t="s">
        <v>195</v>
      </c>
      <c r="D3" s="55" t="s">
        <v>206</v>
      </c>
      <c r="E3" s="56" t="s">
        <v>207</v>
      </c>
      <c r="F3" s="56" t="s">
        <v>208</v>
      </c>
    </row>
    <row r="4" spans="1:6" x14ac:dyDescent="0.2">
      <c r="A4" t="s">
        <v>185</v>
      </c>
      <c r="B4" t="s">
        <v>36</v>
      </c>
      <c r="C4" s="45">
        <v>12280</v>
      </c>
      <c r="E4" s="47"/>
    </row>
    <row r="5" spans="1:6" x14ac:dyDescent="0.2">
      <c r="B5" t="s">
        <v>78</v>
      </c>
      <c r="C5" s="45">
        <v>10909</v>
      </c>
      <c r="E5" s="47"/>
    </row>
    <row r="6" spans="1:6" x14ac:dyDescent="0.2">
      <c r="B6" t="s">
        <v>10</v>
      </c>
      <c r="C6" s="45">
        <v>15249</v>
      </c>
      <c r="E6" s="47"/>
    </row>
    <row r="7" spans="1:6" x14ac:dyDescent="0.2">
      <c r="B7" t="s">
        <v>52</v>
      </c>
      <c r="C7" s="45">
        <v>9854</v>
      </c>
      <c r="E7" s="47"/>
    </row>
    <row r="8" spans="1:6" x14ac:dyDescent="0.2">
      <c r="B8" t="s">
        <v>66</v>
      </c>
      <c r="C8" s="45">
        <v>15831</v>
      </c>
      <c r="E8" s="47"/>
    </row>
    <row r="9" spans="1:6" x14ac:dyDescent="0.2">
      <c r="B9" t="s">
        <v>21</v>
      </c>
      <c r="C9" s="45">
        <v>14421</v>
      </c>
      <c r="E9" s="47"/>
      <c r="F9" s="46"/>
    </row>
    <row r="10" spans="1:6" x14ac:dyDescent="0.2">
      <c r="B10" t="s">
        <v>57</v>
      </c>
      <c r="C10" s="45">
        <v>11728</v>
      </c>
      <c r="E10" s="47"/>
      <c r="F10" s="46"/>
    </row>
    <row r="11" spans="1:6" ht="15" x14ac:dyDescent="0.25">
      <c r="A11" t="s">
        <v>196</v>
      </c>
      <c r="C11" s="45">
        <v>90272</v>
      </c>
      <c r="D11" s="41">
        <f>7*3</f>
        <v>21</v>
      </c>
      <c r="E11" s="58">
        <f>GETPIVOTDATA("2025",$A$3,"Constituency","Deptford")/7</f>
        <v>12896</v>
      </c>
      <c r="F11" s="57">
        <f>GETPIVOTDATA("2025",$A$3,"Constituency","Deptford")/E25</f>
        <v>7.8614743747913547</v>
      </c>
    </row>
    <row r="12" spans="1:6" x14ac:dyDescent="0.2">
      <c r="A12" t="s">
        <v>186</v>
      </c>
      <c r="B12" t="s">
        <v>71</v>
      </c>
      <c r="C12" s="45">
        <v>10185</v>
      </c>
      <c r="E12" s="47"/>
      <c r="F12" s="46"/>
    </row>
    <row r="13" spans="1:6" x14ac:dyDescent="0.2">
      <c r="B13" t="s">
        <v>96</v>
      </c>
      <c r="C13" s="45">
        <v>10571</v>
      </c>
      <c r="E13" s="47"/>
      <c r="F13" s="46"/>
    </row>
    <row r="14" spans="1:6" x14ac:dyDescent="0.2">
      <c r="B14" t="s">
        <v>119</v>
      </c>
      <c r="C14" s="45">
        <v>10426</v>
      </c>
      <c r="E14" s="47"/>
      <c r="F14" s="46"/>
    </row>
    <row r="15" spans="1:6" x14ac:dyDescent="0.2">
      <c r="B15" t="s">
        <v>37</v>
      </c>
      <c r="C15" s="45">
        <v>10326</v>
      </c>
      <c r="E15" s="47"/>
      <c r="F15" s="46"/>
    </row>
    <row r="16" spans="1:6" x14ac:dyDescent="0.2">
      <c r="B16" t="s">
        <v>30</v>
      </c>
      <c r="C16" s="45">
        <v>10718</v>
      </c>
      <c r="E16" s="47"/>
      <c r="F16" s="46"/>
    </row>
    <row r="17" spans="1:6" x14ac:dyDescent="0.2">
      <c r="B17" t="s">
        <v>85</v>
      </c>
      <c r="C17" s="45">
        <v>11066</v>
      </c>
      <c r="E17" s="47"/>
      <c r="F17" s="46"/>
    </row>
    <row r="18" spans="1:6" x14ac:dyDescent="0.2">
      <c r="B18" t="s">
        <v>99</v>
      </c>
      <c r="C18" s="45">
        <v>9955</v>
      </c>
      <c r="E18" s="47"/>
      <c r="F18" s="46"/>
    </row>
    <row r="19" spans="1:6" ht="15" x14ac:dyDescent="0.25">
      <c r="A19" t="s">
        <v>197</v>
      </c>
      <c r="C19" s="45">
        <v>73247</v>
      </c>
      <c r="D19" s="41">
        <f>7*3</f>
        <v>21</v>
      </c>
      <c r="E19" s="58">
        <f>GETPIVOTDATA("2025",$A$3,"Constituency","East")/7</f>
        <v>10463.857142857143</v>
      </c>
      <c r="F19" s="57">
        <f>GETPIVOTDATA("2025",$A$3,"Constituency","East")/E25</f>
        <v>6.3788263639926264</v>
      </c>
    </row>
    <row r="20" spans="1:6" x14ac:dyDescent="0.2">
      <c r="A20" t="s">
        <v>190</v>
      </c>
      <c r="B20" t="s">
        <v>128</v>
      </c>
      <c r="C20" s="45">
        <v>10253</v>
      </c>
      <c r="E20" s="47"/>
      <c r="F20" s="46"/>
    </row>
    <row r="21" spans="1:6" x14ac:dyDescent="0.2">
      <c r="B21" t="s">
        <v>135</v>
      </c>
      <c r="C21" s="45">
        <v>10820</v>
      </c>
      <c r="E21" s="47"/>
      <c r="F21" s="46"/>
    </row>
    <row r="22" spans="1:6" x14ac:dyDescent="0.2">
      <c r="B22" t="s">
        <v>143</v>
      </c>
      <c r="C22" s="45">
        <v>10995</v>
      </c>
      <c r="E22" s="47"/>
      <c r="F22" s="46"/>
    </row>
    <row r="23" spans="1:6" x14ac:dyDescent="0.2">
      <c r="B23" t="s">
        <v>42</v>
      </c>
      <c r="C23" s="45">
        <v>11104</v>
      </c>
      <c r="E23" s="47"/>
      <c r="F23" s="46"/>
    </row>
    <row r="24" spans="1:6" ht="15" x14ac:dyDescent="0.25">
      <c r="A24" t="s">
        <v>198</v>
      </c>
      <c r="C24" s="45">
        <v>43172</v>
      </c>
      <c r="D24" s="41">
        <f>4*3</f>
        <v>12</v>
      </c>
      <c r="E24" s="58">
        <f>GETPIVOTDATA("2025",$A$3,"Constituency","West &amp; Penge")/4</f>
        <v>10793</v>
      </c>
      <c r="F24" s="57">
        <f>GETPIVOTDATA("2025",$A$3,"Constituency","West &amp; Penge")/E25</f>
        <v>3.7596992612160181</v>
      </c>
    </row>
    <row r="25" spans="1:6" ht="15" x14ac:dyDescent="0.25">
      <c r="A25" t="s">
        <v>194</v>
      </c>
      <c r="C25" s="45">
        <v>206691</v>
      </c>
      <c r="D25" s="59">
        <v>54</v>
      </c>
      <c r="E25" s="59">
        <f>GETPIVOTDATA("2025",$A$3)/18</f>
        <v>11482.833333333334</v>
      </c>
      <c r="F25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2"/>
  <sheetViews>
    <sheetView topLeftCell="A7" workbookViewId="0">
      <selection activeCell="E10" sqref="E10"/>
    </sheetView>
  </sheetViews>
  <sheetFormatPr defaultColWidth="12.625" defaultRowHeight="15" customHeight="1" x14ac:dyDescent="0.2"/>
  <cols>
    <col min="4" max="4" width="18.625" bestFit="1" customWidth="1"/>
    <col min="5" max="5" width="33.75" bestFit="1" customWidth="1"/>
    <col min="6" max="6" width="14.75" bestFit="1" customWidth="1"/>
    <col min="7" max="7" width="10.375" customWidth="1"/>
    <col min="8" max="8" width="4.5" customWidth="1"/>
    <col min="9" max="9" width="7.5" customWidth="1"/>
  </cols>
  <sheetData>
    <row r="1" spans="1:10" ht="41.25" customHeight="1" x14ac:dyDescent="0.2">
      <c r="A1" s="48" t="s">
        <v>0</v>
      </c>
      <c r="B1" s="48" t="s">
        <v>2</v>
      </c>
      <c r="C1" s="49" t="s">
        <v>162</v>
      </c>
      <c r="D1" s="49" t="s">
        <v>178</v>
      </c>
      <c r="E1" s="49" t="s">
        <v>3</v>
      </c>
      <c r="F1" s="49" t="s">
        <v>158</v>
      </c>
      <c r="G1" s="50" t="s">
        <v>179</v>
      </c>
      <c r="H1" s="51" t="s">
        <v>180</v>
      </c>
      <c r="I1" s="49" t="s">
        <v>181</v>
      </c>
      <c r="J1" s="49" t="s">
        <v>4</v>
      </c>
    </row>
    <row r="2" spans="1:10" x14ac:dyDescent="0.25">
      <c r="A2" s="1">
        <v>1</v>
      </c>
      <c r="B2" s="6">
        <f>SUM('New Wards - PD totals'!C2:C5)</f>
        <v>12088</v>
      </c>
      <c r="C2" s="6" t="s">
        <v>10</v>
      </c>
      <c r="D2" s="6" t="s">
        <v>165</v>
      </c>
      <c r="E2" s="6" t="s">
        <v>9</v>
      </c>
      <c r="F2" s="6" t="s">
        <v>10</v>
      </c>
      <c r="G2" s="6">
        <f t="shared" ref="G2:G19" si="0">B2-$B$21</f>
        <v>605.16666666666606</v>
      </c>
      <c r="H2" s="6">
        <f>SIGN(G2)</f>
        <v>1</v>
      </c>
      <c r="I2" s="52">
        <f t="shared" ref="I2:I19" si="1">G2/$B$21</f>
        <v>5.2701859297211724E-2</v>
      </c>
      <c r="J2" s="1" t="s">
        <v>11</v>
      </c>
    </row>
    <row r="3" spans="1:10" x14ac:dyDescent="0.25">
      <c r="A3" s="1">
        <v>2</v>
      </c>
      <c r="B3" s="6">
        <f>SUM('New Wards - PD totals'!C7:C12)</f>
        <v>11979</v>
      </c>
      <c r="C3" s="6" t="s">
        <v>21</v>
      </c>
      <c r="D3" s="6" t="s">
        <v>166</v>
      </c>
      <c r="E3" s="6" t="s">
        <v>13</v>
      </c>
      <c r="F3" s="6" t="s">
        <v>159</v>
      </c>
      <c r="G3" s="6">
        <f t="shared" si="0"/>
        <v>496.16666666666606</v>
      </c>
      <c r="H3" s="6">
        <f t="shared" ref="H3:H19" si="2">SIGN(G3)</f>
        <v>1</v>
      </c>
      <c r="I3" s="52">
        <f t="shared" si="1"/>
        <v>4.3209428567281542E-2</v>
      </c>
      <c r="J3" s="1" t="s">
        <v>11</v>
      </c>
    </row>
    <row r="4" spans="1:10" x14ac:dyDescent="0.25">
      <c r="A4" s="1">
        <v>3</v>
      </c>
      <c r="B4" s="6">
        <f>SUM('New Wards - PD totals'!C14:C19)</f>
        <v>12648</v>
      </c>
      <c r="C4" s="6" t="s">
        <v>163</v>
      </c>
      <c r="D4" s="6" t="s">
        <v>164</v>
      </c>
      <c r="E4" s="6" t="s">
        <v>16</v>
      </c>
      <c r="F4" s="6" t="s">
        <v>160</v>
      </c>
      <c r="G4" s="23">
        <f t="shared" si="0"/>
        <v>1165.1666666666661</v>
      </c>
      <c r="H4" s="6">
        <f t="shared" si="2"/>
        <v>1</v>
      </c>
      <c r="I4" s="52">
        <f t="shared" si="1"/>
        <v>0.10147031075373378</v>
      </c>
      <c r="J4" s="1" t="s">
        <v>11</v>
      </c>
    </row>
    <row r="5" spans="1:10" x14ac:dyDescent="0.25">
      <c r="A5" s="1">
        <v>4</v>
      </c>
      <c r="B5" s="6">
        <f>SUM('New Wards - PD totals'!C21:C27)</f>
        <v>11899</v>
      </c>
      <c r="C5" s="6" t="s">
        <v>52</v>
      </c>
      <c r="D5" s="6" t="s">
        <v>167</v>
      </c>
      <c r="E5" s="6" t="s">
        <v>17</v>
      </c>
      <c r="F5" s="6" t="s">
        <v>52</v>
      </c>
      <c r="G5" s="6">
        <f t="shared" si="0"/>
        <v>416.16666666666606</v>
      </c>
      <c r="H5" s="6">
        <f t="shared" si="2"/>
        <v>1</v>
      </c>
      <c r="I5" s="52">
        <f t="shared" si="1"/>
        <v>3.6242506930635535E-2</v>
      </c>
      <c r="J5" s="1" t="s">
        <v>11</v>
      </c>
    </row>
    <row r="6" spans="1:10" x14ac:dyDescent="0.25">
      <c r="A6" s="1">
        <v>5</v>
      </c>
      <c r="B6" s="6">
        <f>SUM('New Wards - PD totals'!C29:C34)</f>
        <v>11728</v>
      </c>
      <c r="C6" s="6" t="s">
        <v>57</v>
      </c>
      <c r="D6" s="6" t="s">
        <v>169</v>
      </c>
      <c r="E6" s="6" t="s">
        <v>57</v>
      </c>
      <c r="F6" s="6" t="s">
        <v>57</v>
      </c>
      <c r="G6" s="6">
        <f t="shared" si="0"/>
        <v>245.16666666666606</v>
      </c>
      <c r="H6" s="6">
        <f t="shared" si="2"/>
        <v>1</v>
      </c>
      <c r="I6" s="52">
        <f t="shared" si="1"/>
        <v>2.135071193230469E-2</v>
      </c>
      <c r="J6" s="1" t="s">
        <v>11</v>
      </c>
    </row>
    <row r="7" spans="1:10" x14ac:dyDescent="0.25">
      <c r="A7" s="1">
        <v>6</v>
      </c>
      <c r="B7" s="6">
        <f>SUM('New Wards - PD totals'!C36:C40)</f>
        <v>11193</v>
      </c>
      <c r="C7" s="6" t="s">
        <v>66</v>
      </c>
      <c r="D7" s="6" t="s">
        <v>170</v>
      </c>
      <c r="E7" s="6" t="s">
        <v>22</v>
      </c>
      <c r="F7" s="6" t="s">
        <v>66</v>
      </c>
      <c r="G7" s="6">
        <f t="shared" si="0"/>
        <v>-289.83333333333394</v>
      </c>
      <c r="H7" s="6">
        <f t="shared" si="2"/>
        <v>-1</v>
      </c>
      <c r="I7" s="52">
        <f t="shared" si="1"/>
        <v>-2.5240576512765484E-2</v>
      </c>
      <c r="J7" s="1" t="s">
        <v>11</v>
      </c>
    </row>
    <row r="8" spans="1:10" x14ac:dyDescent="0.25">
      <c r="A8" s="1">
        <v>7</v>
      </c>
      <c r="B8" s="6">
        <f>SUM('New Wards - PD totals'!C42:C48)</f>
        <v>11207</v>
      </c>
      <c r="C8" s="6" t="s">
        <v>71</v>
      </c>
      <c r="D8" s="25" t="s">
        <v>171</v>
      </c>
      <c r="E8" s="6" t="s">
        <v>24</v>
      </c>
      <c r="F8" s="6" t="s">
        <v>71</v>
      </c>
      <c r="G8" s="6">
        <f t="shared" si="0"/>
        <v>-275.83333333333394</v>
      </c>
      <c r="H8" s="6">
        <f t="shared" si="2"/>
        <v>-1</v>
      </c>
      <c r="I8" s="52">
        <f t="shared" si="1"/>
        <v>-2.4021365226352433E-2</v>
      </c>
      <c r="J8" s="1" t="s">
        <v>182</v>
      </c>
    </row>
    <row r="9" spans="1:10" x14ac:dyDescent="0.25">
      <c r="A9" s="1">
        <v>8</v>
      </c>
      <c r="B9" s="6">
        <f>SUM('New Wards - PD totals'!C50:C56)</f>
        <v>12828</v>
      </c>
      <c r="C9" s="6" t="s">
        <v>78</v>
      </c>
      <c r="D9" s="25" t="s">
        <v>168</v>
      </c>
      <c r="E9" s="24" t="s">
        <v>205</v>
      </c>
      <c r="F9" s="6" t="s">
        <v>78</v>
      </c>
      <c r="G9" s="23">
        <f t="shared" si="0"/>
        <v>1345.1666666666661</v>
      </c>
      <c r="H9" s="6">
        <f t="shared" si="2"/>
        <v>1</v>
      </c>
      <c r="I9" s="52">
        <f t="shared" si="1"/>
        <v>0.11714588443618729</v>
      </c>
      <c r="J9" s="1" t="s">
        <v>28</v>
      </c>
    </row>
    <row r="10" spans="1:10" x14ac:dyDescent="0.25">
      <c r="A10" s="1">
        <v>9</v>
      </c>
      <c r="B10" s="6">
        <f>SUM('New Wards - PD totals'!C58:C63)</f>
        <v>10718</v>
      </c>
      <c r="C10" s="6" t="s">
        <v>30</v>
      </c>
      <c r="D10" s="6" t="s">
        <v>169</v>
      </c>
      <c r="E10" s="6" t="s">
        <v>30</v>
      </c>
      <c r="F10" s="6" t="s">
        <v>30</v>
      </c>
      <c r="G10" s="6">
        <f t="shared" si="0"/>
        <v>-764.83333333333394</v>
      </c>
      <c r="H10" s="6">
        <f t="shared" si="2"/>
        <v>-1</v>
      </c>
      <c r="I10" s="52">
        <f t="shared" si="1"/>
        <v>-6.660667373035116E-2</v>
      </c>
      <c r="J10" s="1" t="s">
        <v>25</v>
      </c>
    </row>
    <row r="11" spans="1:10" x14ac:dyDescent="0.25">
      <c r="A11" s="1">
        <v>10</v>
      </c>
      <c r="B11" s="6">
        <f>SUM('New Wards - PD totals'!C65:C70)</f>
        <v>12038</v>
      </c>
      <c r="C11" s="6"/>
      <c r="D11" s="25" t="s">
        <v>172</v>
      </c>
      <c r="E11" s="6" t="s">
        <v>31</v>
      </c>
      <c r="F11" s="6" t="s">
        <v>161</v>
      </c>
      <c r="G11" s="6">
        <f t="shared" si="0"/>
        <v>555.16666666666606</v>
      </c>
      <c r="H11" s="6">
        <f t="shared" si="2"/>
        <v>1</v>
      </c>
      <c r="I11" s="52">
        <f t="shared" si="1"/>
        <v>4.834753327430797E-2</v>
      </c>
      <c r="J11" s="1" t="s">
        <v>182</v>
      </c>
    </row>
    <row r="12" spans="1:10" x14ac:dyDescent="0.25">
      <c r="A12" s="1">
        <v>11</v>
      </c>
      <c r="B12" s="6">
        <f>SUM('New Wards - PD totals'!C72:C77)</f>
        <v>10821</v>
      </c>
      <c r="C12" s="6" t="s">
        <v>157</v>
      </c>
      <c r="D12" s="25" t="s">
        <v>177</v>
      </c>
      <c r="E12" s="6" t="s">
        <v>157</v>
      </c>
      <c r="F12" s="6" t="s">
        <v>157</v>
      </c>
      <c r="G12" s="6">
        <f t="shared" si="0"/>
        <v>-661.83333333333394</v>
      </c>
      <c r="H12" s="6">
        <f t="shared" si="2"/>
        <v>-1</v>
      </c>
      <c r="I12" s="52">
        <f t="shared" si="1"/>
        <v>-5.763676212316942E-2</v>
      </c>
      <c r="J12" s="1" t="s">
        <v>182</v>
      </c>
    </row>
    <row r="13" spans="1:10" x14ac:dyDescent="0.25">
      <c r="A13" s="1">
        <v>12</v>
      </c>
      <c r="B13" s="6">
        <f>SUM('New Wards - PD totals'!C79:C84)</f>
        <v>11075</v>
      </c>
      <c r="C13" s="6"/>
      <c r="D13" s="6" t="s">
        <v>173</v>
      </c>
      <c r="E13" s="6" t="s">
        <v>34</v>
      </c>
      <c r="F13" s="6" t="s">
        <v>96</v>
      </c>
      <c r="G13" s="6">
        <f t="shared" si="0"/>
        <v>-407.83333333333394</v>
      </c>
      <c r="H13" s="6">
        <f t="shared" si="2"/>
        <v>-1</v>
      </c>
      <c r="I13" s="52">
        <f t="shared" si="1"/>
        <v>-3.5516785926818346E-2</v>
      </c>
      <c r="J13" s="1" t="s">
        <v>25</v>
      </c>
    </row>
    <row r="14" spans="1:10" x14ac:dyDescent="0.25">
      <c r="A14" s="1">
        <v>13</v>
      </c>
      <c r="B14" s="6">
        <f>SUM('New Wards - PD totals'!C86:C91)</f>
        <v>10326</v>
      </c>
      <c r="C14" s="6" t="s">
        <v>37</v>
      </c>
      <c r="D14" s="6" t="s">
        <v>174</v>
      </c>
      <c r="E14" s="6" t="s">
        <v>37</v>
      </c>
      <c r="F14" s="6" t="s">
        <v>37</v>
      </c>
      <c r="G14" s="6">
        <f t="shared" si="0"/>
        <v>-1156.8333333333339</v>
      </c>
      <c r="H14" s="6">
        <f t="shared" si="2"/>
        <v>-1</v>
      </c>
      <c r="I14" s="52">
        <f t="shared" si="1"/>
        <v>-0.10074458974991658</v>
      </c>
      <c r="J14" s="1" t="s">
        <v>25</v>
      </c>
    </row>
    <row r="15" spans="1:10" x14ac:dyDescent="0.25">
      <c r="A15" s="1">
        <v>14</v>
      </c>
      <c r="B15" s="6">
        <f>SUM('New Wards - PD totals'!C93:C99)</f>
        <v>11272</v>
      </c>
      <c r="C15" s="6" t="s">
        <v>119</v>
      </c>
      <c r="D15" s="6" t="s">
        <v>175</v>
      </c>
      <c r="E15" s="6" t="s">
        <v>39</v>
      </c>
      <c r="F15" s="6" t="s">
        <v>119</v>
      </c>
      <c r="G15" s="6">
        <f t="shared" si="0"/>
        <v>-210.83333333333394</v>
      </c>
      <c r="H15" s="6">
        <f t="shared" si="2"/>
        <v>-1</v>
      </c>
      <c r="I15" s="52">
        <f t="shared" si="1"/>
        <v>-1.8360741396577552E-2</v>
      </c>
      <c r="J15" s="1" t="s">
        <v>25</v>
      </c>
    </row>
    <row r="16" spans="1:10" x14ac:dyDescent="0.25">
      <c r="A16" s="1">
        <v>15</v>
      </c>
      <c r="B16" s="6">
        <f>SUM('New Wards - PD totals'!C101:C107)</f>
        <v>11952</v>
      </c>
      <c r="C16" s="6" t="s">
        <v>128</v>
      </c>
      <c r="D16" s="26" t="s">
        <v>176</v>
      </c>
      <c r="E16" s="6" t="s">
        <v>40</v>
      </c>
      <c r="F16" s="6" t="s">
        <v>128</v>
      </c>
      <c r="G16" s="6">
        <f t="shared" si="0"/>
        <v>469.16666666666606</v>
      </c>
      <c r="H16" s="6">
        <f t="shared" si="2"/>
        <v>1</v>
      </c>
      <c r="I16" s="52">
        <f t="shared" si="1"/>
        <v>4.0858092514913513E-2</v>
      </c>
      <c r="J16" s="1" t="s">
        <v>41</v>
      </c>
    </row>
    <row r="17" spans="1:10" x14ac:dyDescent="0.25">
      <c r="A17" s="1">
        <v>16</v>
      </c>
      <c r="B17" s="6">
        <f>SUM('New Wards - PD totals'!C124:C130)</f>
        <v>11104</v>
      </c>
      <c r="C17" s="6" t="s">
        <v>42</v>
      </c>
      <c r="D17" s="6" t="s">
        <v>169</v>
      </c>
      <c r="E17" s="6" t="s">
        <v>42</v>
      </c>
      <c r="F17" s="6" t="s">
        <v>42</v>
      </c>
      <c r="G17" s="6">
        <f t="shared" si="0"/>
        <v>-378.83333333333394</v>
      </c>
      <c r="H17" s="6">
        <f t="shared" si="2"/>
        <v>-1</v>
      </c>
      <c r="I17" s="52">
        <f t="shared" si="1"/>
        <v>-3.2991276833534165E-2</v>
      </c>
      <c r="J17" s="1" t="s">
        <v>44</v>
      </c>
    </row>
    <row r="18" spans="1:10" x14ac:dyDescent="0.25">
      <c r="A18" s="1">
        <v>17</v>
      </c>
      <c r="B18" s="6">
        <f>SUM('New Wards - PD totals'!C117:C122)</f>
        <v>10995</v>
      </c>
      <c r="C18" s="6" t="s">
        <v>45</v>
      </c>
      <c r="D18" s="6" t="s">
        <v>169</v>
      </c>
      <c r="E18" s="6" t="s">
        <v>45</v>
      </c>
      <c r="F18" s="6" t="s">
        <v>45</v>
      </c>
      <c r="G18" s="6">
        <f t="shared" si="0"/>
        <v>-487.83333333333394</v>
      </c>
      <c r="H18" s="6">
        <f t="shared" si="2"/>
        <v>-1</v>
      </c>
      <c r="I18" s="52">
        <f t="shared" si="1"/>
        <v>-4.2483707563464354E-2</v>
      </c>
      <c r="J18" s="1" t="s">
        <v>44</v>
      </c>
    </row>
    <row r="19" spans="1:10" x14ac:dyDescent="0.25">
      <c r="A19" s="1">
        <v>18</v>
      </c>
      <c r="B19" s="6">
        <f>SUM('New Wards - PD totals'!C109:C115)</f>
        <v>10820</v>
      </c>
      <c r="C19" s="6" t="s">
        <v>46</v>
      </c>
      <c r="D19" s="6" t="s">
        <v>169</v>
      </c>
      <c r="E19" s="6" t="s">
        <v>46</v>
      </c>
      <c r="F19" s="6" t="s">
        <v>46</v>
      </c>
      <c r="G19" s="6">
        <f t="shared" si="0"/>
        <v>-662.83333333333394</v>
      </c>
      <c r="H19" s="6">
        <f t="shared" si="2"/>
        <v>-1</v>
      </c>
      <c r="I19" s="52">
        <f t="shared" si="1"/>
        <v>-5.7723848643627493E-2</v>
      </c>
      <c r="J19" s="1" t="s">
        <v>44</v>
      </c>
    </row>
    <row r="21" spans="1:10" x14ac:dyDescent="0.25">
      <c r="A21" s="1" t="s">
        <v>48</v>
      </c>
      <c r="B21" s="6">
        <f>AVERAGE(B2:B19)</f>
        <v>11482.833333333334</v>
      </c>
      <c r="C21" s="6"/>
      <c r="D21" s="6"/>
    </row>
    <row r="22" spans="1:10" x14ac:dyDescent="0.25">
      <c r="A22" s="22" t="s">
        <v>156</v>
      </c>
      <c r="B22" s="13">
        <f>STDEV(B2:B19)</f>
        <v>690.0166451530248</v>
      </c>
      <c r="C22" s="13"/>
      <c r="D22" s="13"/>
    </row>
  </sheetData>
  <conditionalFormatting sqref="H2:H19">
    <cfRule type="iconSet" priority="1">
      <iconSet iconSet="3Symbols2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892B-E5F5-408B-B63B-92CA377F8629}">
  <dimension ref="A1:E19"/>
  <sheetViews>
    <sheetView workbookViewId="0">
      <selection activeCell="D1" sqref="D1:E19"/>
    </sheetView>
  </sheetViews>
  <sheetFormatPr defaultRowHeight="14.25" x14ac:dyDescent="0.2"/>
  <sheetData>
    <row r="1" spans="1:5" ht="15" x14ac:dyDescent="0.25">
      <c r="A1" s="22" t="s">
        <v>191</v>
      </c>
      <c r="B1" s="22" t="s">
        <v>192</v>
      </c>
      <c r="D1" s="21" t="s">
        <v>0</v>
      </c>
      <c r="E1" s="1" t="s">
        <v>158</v>
      </c>
    </row>
    <row r="2" spans="1:5" ht="15" x14ac:dyDescent="0.25">
      <c r="A2" s="22" t="s">
        <v>187</v>
      </c>
      <c r="B2" s="22" t="s">
        <v>185</v>
      </c>
      <c r="D2" s="1">
        <v>1</v>
      </c>
      <c r="E2" s="6" t="s">
        <v>10</v>
      </c>
    </row>
    <row r="3" spans="1:5" ht="15" x14ac:dyDescent="0.25">
      <c r="A3" s="22" t="s">
        <v>188</v>
      </c>
      <c r="B3" s="22" t="s">
        <v>186</v>
      </c>
      <c r="D3" s="1">
        <v>2</v>
      </c>
      <c r="E3" s="6" t="s">
        <v>159</v>
      </c>
    </row>
    <row r="4" spans="1:5" ht="15" x14ac:dyDescent="0.25">
      <c r="A4" s="22" t="s">
        <v>189</v>
      </c>
      <c r="B4" s="22" t="s">
        <v>190</v>
      </c>
      <c r="D4" s="1">
        <v>3</v>
      </c>
      <c r="E4" s="6" t="s">
        <v>160</v>
      </c>
    </row>
    <row r="5" spans="1:5" ht="15" x14ac:dyDescent="0.25">
      <c r="D5" s="1">
        <v>4</v>
      </c>
      <c r="E5" s="6" t="s">
        <v>52</v>
      </c>
    </row>
    <row r="6" spans="1:5" ht="15" x14ac:dyDescent="0.25">
      <c r="D6" s="1">
        <v>5</v>
      </c>
      <c r="E6" s="6" t="s">
        <v>57</v>
      </c>
    </row>
    <row r="7" spans="1:5" ht="15" x14ac:dyDescent="0.25">
      <c r="D7" s="1">
        <v>6</v>
      </c>
      <c r="E7" s="6" t="s">
        <v>66</v>
      </c>
    </row>
    <row r="8" spans="1:5" ht="15" x14ac:dyDescent="0.25">
      <c r="D8" s="1">
        <v>7</v>
      </c>
      <c r="E8" s="6" t="s">
        <v>71</v>
      </c>
    </row>
    <row r="9" spans="1:5" ht="15" x14ac:dyDescent="0.25">
      <c r="D9" s="1">
        <v>8</v>
      </c>
      <c r="E9" s="6" t="s">
        <v>78</v>
      </c>
    </row>
    <row r="10" spans="1:5" ht="15" x14ac:dyDescent="0.25">
      <c r="D10" s="1">
        <v>9</v>
      </c>
      <c r="E10" s="6" t="s">
        <v>30</v>
      </c>
    </row>
    <row r="11" spans="1:5" ht="15" x14ac:dyDescent="0.25">
      <c r="D11" s="1">
        <v>10</v>
      </c>
      <c r="E11" s="6" t="s">
        <v>161</v>
      </c>
    </row>
    <row r="12" spans="1:5" ht="15" x14ac:dyDescent="0.25">
      <c r="D12" s="1">
        <v>11</v>
      </c>
      <c r="E12" s="6" t="s">
        <v>157</v>
      </c>
    </row>
    <row r="13" spans="1:5" ht="15" x14ac:dyDescent="0.25">
      <c r="D13" s="1">
        <v>12</v>
      </c>
      <c r="E13" s="6" t="s">
        <v>96</v>
      </c>
    </row>
    <row r="14" spans="1:5" ht="15" x14ac:dyDescent="0.25">
      <c r="D14" s="1">
        <v>13</v>
      </c>
      <c r="E14" s="6" t="s">
        <v>37</v>
      </c>
    </row>
    <row r="15" spans="1:5" ht="15" x14ac:dyDescent="0.25">
      <c r="D15" s="1">
        <v>14</v>
      </c>
      <c r="E15" s="6" t="s">
        <v>119</v>
      </c>
    </row>
    <row r="16" spans="1:5" ht="15" x14ac:dyDescent="0.25">
      <c r="D16" s="1">
        <v>15</v>
      </c>
      <c r="E16" s="6" t="s">
        <v>128</v>
      </c>
    </row>
    <row r="17" spans="4:5" ht="15" x14ac:dyDescent="0.25">
      <c r="D17" s="1">
        <v>16</v>
      </c>
      <c r="E17" s="6" t="s">
        <v>42</v>
      </c>
    </row>
    <row r="18" spans="4:5" ht="15" x14ac:dyDescent="0.25">
      <c r="D18" s="1">
        <v>17</v>
      </c>
      <c r="E18" s="6" t="s">
        <v>45</v>
      </c>
    </row>
    <row r="19" spans="4:5" ht="15" x14ac:dyDescent="0.25">
      <c r="D19" s="1">
        <v>18</v>
      </c>
      <c r="E19" s="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New Wards - PD totals</vt:lpstr>
      <vt:lpstr>Data</vt:lpstr>
      <vt:lpstr>rank by size of ward</vt:lpstr>
      <vt:lpstr>By Constituency</vt:lpstr>
      <vt:lpstr>Ward Summary</vt:lpstr>
      <vt:lpstr>Parameters</vt:lpstr>
      <vt:lpstr>average</vt:lpstr>
      <vt:lpstr>CLPCode</vt:lpstr>
      <vt:lpstr>newnames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Jamie</dc:creator>
  <cp:lastModifiedBy>Dave</cp:lastModifiedBy>
  <dcterms:created xsi:type="dcterms:W3CDTF">2019-07-11T12:57:38Z</dcterms:created>
  <dcterms:modified xsi:type="dcterms:W3CDTF">2019-08-15T13:45:21Z</dcterms:modified>
</cp:coreProperties>
</file>